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3.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drawings/drawing4.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drawings/drawing5.xml" ContentType="application/vnd.openxmlformats-officedocument.drawing+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drawings/drawing6.xml" ContentType="application/vnd.openxmlformats-officedocument.drawing+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drawings/drawing7.xml" ContentType="application/vnd.openxmlformats-officedocument.drawing+xml"/>
  <Override PartName="/xl/tables/table52.xml" ContentType="application/vnd.openxmlformats-officedocument.spreadsheetml.table+xml"/>
  <Override PartName="/xl/drawings/drawing8.xml" ContentType="application/vnd.openxmlformats-officedocument.drawing+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showInkAnnotation="0" codeName="ThisWorkbook" hidePivotFieldList="1"/>
  <bookViews>
    <workbookView xWindow="0" yWindow="0" windowWidth="20730" windowHeight="9195" activeTab="4"/>
  </bookViews>
  <sheets>
    <sheet name="Data sheet" sheetId="10" r:id="rId1"/>
    <sheet name="Instruction" sheetId="12" r:id="rId2"/>
    <sheet name="Daily sales" sheetId="1" r:id="rId3"/>
    <sheet name="Monthly sales" sheetId="4" r:id="rId4"/>
    <sheet name="Fixed materials registration" sheetId="5" r:id="rId5"/>
    <sheet name="Raw materials" sheetId="7" r:id="rId6"/>
    <sheet name="Salary of employees" sheetId="6" r:id="rId7"/>
    <sheet name="Loan" sheetId="8" r:id="rId8"/>
    <sheet name="Profit sheet" sheetId="9" r:id="rId9"/>
    <sheet name="Graphs" sheetId="11" r:id="rId10"/>
  </sheets>
  <definedNames>
    <definedName name="OLE_LINK1" localSheetId="1">Instruction!$A$1</definedName>
    <definedName name="PN">#REF!</definedName>
    <definedName name="PN_Description">#REF!</definedName>
    <definedName name="_xlnm.Print_Area" localSheetId="2">'Daily sales'!$C:$P</definedName>
    <definedName name="_xlnm.Print_Titles" localSheetId="2">'Daily sales'!$8:$8</definedName>
    <definedName name="PT_EndRow">COUNTA(#REF!)+PT_StartRow-3</definedName>
    <definedName name="PT_StartRow">ROW(INDEX(#REF!,MATCH("*",#REF!,0),1))+1</definedName>
  </definedNames>
  <calcPr calcId="144525"/>
</workbook>
</file>

<file path=xl/calcChain.xml><?xml version="1.0" encoding="utf-8"?>
<calcChain xmlns="http://schemas.openxmlformats.org/spreadsheetml/2006/main">
  <c r="C143" i="9" l="1"/>
  <c r="C118" i="9"/>
  <c r="C94" i="9"/>
  <c r="C69" i="9"/>
  <c r="C45" i="9"/>
  <c r="C21" i="9"/>
  <c r="B173" i="4" l="1"/>
  <c r="B174" i="4"/>
  <c r="B175" i="4"/>
  <c r="B176" i="4"/>
  <c r="B177" i="4"/>
  <c r="B178" i="4"/>
  <c r="B179" i="4"/>
  <c r="B180" i="4"/>
  <c r="B181" i="4"/>
  <c r="B182" i="4"/>
  <c r="C173" i="4"/>
  <c r="C174" i="4"/>
  <c r="C175" i="4"/>
  <c r="C176" i="4"/>
  <c r="C177" i="4"/>
  <c r="C178" i="4"/>
  <c r="C179" i="4"/>
  <c r="C180" i="4"/>
  <c r="C181" i="4"/>
  <c r="C182" i="4"/>
  <c r="D175" i="4"/>
  <c r="D176" i="4"/>
  <c r="D177" i="4"/>
  <c r="D178" i="4"/>
  <c r="D179" i="4"/>
  <c r="D180" i="4"/>
  <c r="D181" i="4"/>
  <c r="D182" i="4"/>
  <c r="E175" i="4"/>
  <c r="E176" i="4"/>
  <c r="E177" i="4"/>
  <c r="E178" i="4"/>
  <c r="E179" i="4"/>
  <c r="E180" i="4"/>
  <c r="E181" i="4"/>
  <c r="E182" i="4"/>
  <c r="C158" i="4"/>
  <c r="C159" i="4"/>
  <c r="C160" i="4"/>
  <c r="C161" i="4"/>
  <c r="C162" i="4"/>
  <c r="C163" i="4"/>
  <c r="C164" i="4"/>
  <c r="C165" i="4"/>
  <c r="C166" i="4"/>
  <c r="C167" i="4"/>
  <c r="B158" i="4"/>
  <c r="B159" i="4"/>
  <c r="B160" i="4"/>
  <c r="B161" i="4"/>
  <c r="B162" i="4"/>
  <c r="B163" i="4"/>
  <c r="B164" i="4"/>
  <c r="B165" i="4"/>
  <c r="B166" i="4"/>
  <c r="B167" i="4"/>
  <c r="C144" i="4"/>
  <c r="C145" i="4"/>
  <c r="C146" i="4"/>
  <c r="C147" i="4"/>
  <c r="C148" i="4"/>
  <c r="C149" i="4"/>
  <c r="C150" i="4"/>
  <c r="C151" i="4"/>
  <c r="C152" i="4"/>
  <c r="C153" i="4"/>
  <c r="B144" i="4"/>
  <c r="B145" i="4"/>
  <c r="B146" i="4"/>
  <c r="B147" i="4"/>
  <c r="B148" i="4"/>
  <c r="B149" i="4"/>
  <c r="B150" i="4"/>
  <c r="B151" i="4"/>
  <c r="B152" i="4"/>
  <c r="B153" i="4"/>
  <c r="B129" i="4"/>
  <c r="B130" i="4"/>
  <c r="B131" i="4"/>
  <c r="B132" i="4"/>
  <c r="B133" i="4"/>
  <c r="B134" i="4"/>
  <c r="B135" i="4"/>
  <c r="B136" i="4"/>
  <c r="B137" i="4"/>
  <c r="B138" i="4"/>
  <c r="C129" i="4"/>
  <c r="C130" i="4"/>
  <c r="C131" i="4"/>
  <c r="C132" i="4"/>
  <c r="C133" i="4"/>
  <c r="C134" i="4"/>
  <c r="C135" i="4"/>
  <c r="C136" i="4"/>
  <c r="C137" i="4"/>
  <c r="C138" i="4"/>
  <c r="B114" i="4"/>
  <c r="B115" i="4"/>
  <c r="B116" i="4"/>
  <c r="B117" i="4"/>
  <c r="B118" i="4"/>
  <c r="B119" i="4"/>
  <c r="B120" i="4"/>
  <c r="B121" i="4"/>
  <c r="B122" i="4"/>
  <c r="B123" i="4"/>
  <c r="C114" i="4"/>
  <c r="C115" i="4"/>
  <c r="C116" i="4"/>
  <c r="C117" i="4"/>
  <c r="C118" i="4"/>
  <c r="C119" i="4"/>
  <c r="C120" i="4"/>
  <c r="C121" i="4"/>
  <c r="C122" i="4"/>
  <c r="C123" i="4"/>
  <c r="C100" i="4"/>
  <c r="C101" i="4"/>
  <c r="C102" i="4"/>
  <c r="C103" i="4"/>
  <c r="C104" i="4"/>
  <c r="C105" i="4"/>
  <c r="C106" i="4"/>
  <c r="C107" i="4"/>
  <c r="C108" i="4"/>
  <c r="C109" i="4"/>
  <c r="B100" i="4"/>
  <c r="B101" i="4"/>
  <c r="B102" i="4"/>
  <c r="B103" i="4"/>
  <c r="B104" i="4"/>
  <c r="B105" i="4"/>
  <c r="B106" i="4"/>
  <c r="B107" i="4"/>
  <c r="B108" i="4"/>
  <c r="B109" i="4"/>
  <c r="B86" i="4"/>
  <c r="B87" i="4"/>
  <c r="B88" i="4"/>
  <c r="B89" i="4"/>
  <c r="B90" i="4"/>
  <c r="B91" i="4"/>
  <c r="B92" i="4"/>
  <c r="B93" i="4"/>
  <c r="B94" i="4"/>
  <c r="B95" i="4"/>
  <c r="C86" i="4"/>
  <c r="C87" i="4"/>
  <c r="C88" i="4"/>
  <c r="C89" i="4"/>
  <c r="C90" i="4"/>
  <c r="C91" i="4"/>
  <c r="C92" i="4"/>
  <c r="C93" i="4"/>
  <c r="C94" i="4"/>
  <c r="C95" i="4"/>
  <c r="B71" i="4"/>
  <c r="B72" i="4"/>
  <c r="B73" i="4"/>
  <c r="B74" i="4"/>
  <c r="B75" i="4"/>
  <c r="B76" i="4"/>
  <c r="B77" i="4"/>
  <c r="B78" i="4"/>
  <c r="B79" i="4"/>
  <c r="B80" i="4"/>
  <c r="C71" i="4"/>
  <c r="C72" i="4"/>
  <c r="C73" i="4"/>
  <c r="C74" i="4"/>
  <c r="C75" i="4"/>
  <c r="C76" i="4"/>
  <c r="C77" i="4"/>
  <c r="C78" i="4"/>
  <c r="C79" i="4"/>
  <c r="C80" i="4"/>
  <c r="B55" i="4"/>
  <c r="B56" i="4"/>
  <c r="B57" i="4"/>
  <c r="B58" i="4"/>
  <c r="B59" i="4"/>
  <c r="B60" i="4"/>
  <c r="B61" i="4"/>
  <c r="B62" i="4"/>
  <c r="B63" i="4"/>
  <c r="B64" i="4"/>
  <c r="B65" i="4"/>
  <c r="C55" i="4"/>
  <c r="C56" i="4"/>
  <c r="C57" i="4"/>
  <c r="C58" i="4"/>
  <c r="C59" i="4"/>
  <c r="C60" i="4"/>
  <c r="C61" i="4"/>
  <c r="C62" i="4"/>
  <c r="C63" i="4"/>
  <c r="C64" i="4"/>
  <c r="C65" i="4"/>
  <c r="B40" i="4"/>
  <c r="B41" i="4"/>
  <c r="B42" i="4"/>
  <c r="B43" i="4"/>
  <c r="B44" i="4"/>
  <c r="B45" i="4"/>
  <c r="B46" i="4"/>
  <c r="B47" i="4"/>
  <c r="B48" i="4"/>
  <c r="B49" i="4"/>
  <c r="C40" i="4"/>
  <c r="C41" i="4"/>
  <c r="C42" i="4"/>
  <c r="C43" i="4"/>
  <c r="C44" i="4"/>
  <c r="C45" i="4"/>
  <c r="C46" i="4"/>
  <c r="C47" i="4"/>
  <c r="C48" i="4"/>
  <c r="C49" i="4"/>
  <c r="B24" i="4"/>
  <c r="B25" i="4"/>
  <c r="B26" i="4"/>
  <c r="B27" i="4"/>
  <c r="B28" i="4"/>
  <c r="B29" i="4"/>
  <c r="B30" i="4"/>
  <c r="B31" i="4"/>
  <c r="B32" i="4"/>
  <c r="B33" i="4"/>
  <c r="B34" i="4"/>
  <c r="C24" i="4"/>
  <c r="C25" i="4"/>
  <c r="C26" i="4"/>
  <c r="C27" i="4"/>
  <c r="C28" i="4"/>
  <c r="C29" i="4"/>
  <c r="C30" i="4"/>
  <c r="C31" i="4"/>
  <c r="C32" i="4"/>
  <c r="C33" i="4"/>
  <c r="C34" i="4"/>
  <c r="C9" i="4" l="1"/>
  <c r="C10" i="4"/>
  <c r="C11" i="4"/>
  <c r="C12" i="4"/>
  <c r="C13" i="4"/>
  <c r="C14" i="4"/>
  <c r="C15" i="4"/>
  <c r="C16" i="4"/>
  <c r="C17" i="4"/>
  <c r="C18" i="4"/>
  <c r="B9" i="4"/>
  <c r="B10" i="4"/>
  <c r="B11" i="4"/>
  <c r="B12" i="4"/>
  <c r="B13" i="4"/>
  <c r="B14" i="4"/>
  <c r="B15" i="4"/>
  <c r="B16" i="4"/>
  <c r="B17" i="4"/>
  <c r="B18" i="4"/>
  <c r="O53" i="1" l="1"/>
  <c r="D56" i="4" s="1"/>
  <c r="O54" i="1"/>
  <c r="D57" i="4" s="1"/>
  <c r="P54" i="1"/>
  <c r="E57" i="4" s="1"/>
  <c r="O55" i="1"/>
  <c r="D58" i="4" s="1"/>
  <c r="O56" i="1"/>
  <c r="D59" i="4" s="1"/>
  <c r="P56" i="1"/>
  <c r="E59" i="4" s="1"/>
  <c r="O57" i="1"/>
  <c r="D60" i="4" s="1"/>
  <c r="O58" i="1"/>
  <c r="D61" i="4" s="1"/>
  <c r="P58" i="1"/>
  <c r="E61" i="4" s="1"/>
  <c r="O59" i="1"/>
  <c r="D62" i="4" s="1"/>
  <c r="O60" i="1"/>
  <c r="D63" i="4" s="1"/>
  <c r="P60" i="1"/>
  <c r="E63" i="4" s="1"/>
  <c r="O61" i="1"/>
  <c r="D64" i="4" s="1"/>
  <c r="O52" i="1"/>
  <c r="D55" i="4" s="1"/>
  <c r="O39" i="1"/>
  <c r="O40" i="1"/>
  <c r="O41" i="1"/>
  <c r="O42" i="1"/>
  <c r="O43" i="1"/>
  <c r="O44" i="1"/>
  <c r="O45" i="1"/>
  <c r="O46" i="1"/>
  <c r="O38" i="1"/>
  <c r="O24" i="1"/>
  <c r="O25" i="1"/>
  <c r="O26" i="1"/>
  <c r="O27" i="1"/>
  <c r="O28" i="1"/>
  <c r="O29" i="1"/>
  <c r="O30" i="1"/>
  <c r="O31" i="1"/>
  <c r="O32" i="1"/>
  <c r="O23" i="1"/>
  <c r="N174" i="1"/>
  <c r="L174" i="1"/>
  <c r="K174" i="1"/>
  <c r="J174" i="1"/>
  <c r="I174" i="1"/>
  <c r="B174" i="1"/>
  <c r="O173" i="1"/>
  <c r="O172" i="1"/>
  <c r="P172" i="1" s="1"/>
  <c r="O171" i="1"/>
  <c r="P171" i="1" s="1"/>
  <c r="O170" i="1"/>
  <c r="P170" i="1" s="1"/>
  <c r="P169" i="1"/>
  <c r="O169" i="1"/>
  <c r="O168" i="1"/>
  <c r="P168" i="1" s="1"/>
  <c r="O167" i="1"/>
  <c r="P167" i="1" s="1"/>
  <c r="O166" i="1"/>
  <c r="P166" i="1" s="1"/>
  <c r="P165" i="1"/>
  <c r="O165" i="1"/>
  <c r="O164" i="1"/>
  <c r="O174" i="1" s="1"/>
  <c r="D174" i="4" s="1"/>
  <c r="N160" i="1"/>
  <c r="L160" i="1"/>
  <c r="K160" i="1"/>
  <c r="J160" i="1"/>
  <c r="I160" i="1"/>
  <c r="B160" i="1"/>
  <c r="O159" i="1"/>
  <c r="D167" i="4" s="1"/>
  <c r="O158" i="1"/>
  <c r="D166" i="4" s="1"/>
  <c r="P157" i="1"/>
  <c r="E165" i="4" s="1"/>
  <c r="O157" i="1"/>
  <c r="D165" i="4" s="1"/>
  <c r="O156" i="1"/>
  <c r="D164" i="4" s="1"/>
  <c r="P155" i="1"/>
  <c r="E163" i="4" s="1"/>
  <c r="O155" i="1"/>
  <c r="D163" i="4" s="1"/>
  <c r="O154" i="1"/>
  <c r="D162" i="4" s="1"/>
  <c r="P153" i="1"/>
  <c r="E161" i="4" s="1"/>
  <c r="O153" i="1"/>
  <c r="D161" i="4" s="1"/>
  <c r="O152" i="1"/>
  <c r="D160" i="4" s="1"/>
  <c r="O151" i="1"/>
  <c r="D159" i="4" s="1"/>
  <c r="O150" i="1"/>
  <c r="D158" i="4" s="1"/>
  <c r="N146" i="1"/>
  <c r="L146" i="1"/>
  <c r="K146" i="1"/>
  <c r="J146" i="1"/>
  <c r="I146" i="1"/>
  <c r="B146" i="1"/>
  <c r="O145" i="1"/>
  <c r="D153" i="4" s="1"/>
  <c r="O144" i="1"/>
  <c r="D152" i="4" s="1"/>
  <c r="O143" i="1"/>
  <c r="D151" i="4" s="1"/>
  <c r="O142" i="1"/>
  <c r="D150" i="4" s="1"/>
  <c r="O141" i="1"/>
  <c r="D149" i="4" s="1"/>
  <c r="O140" i="1"/>
  <c r="D148" i="4" s="1"/>
  <c r="O139" i="1"/>
  <c r="D147" i="4" s="1"/>
  <c r="O138" i="1"/>
  <c r="D146" i="4" s="1"/>
  <c r="O137" i="1"/>
  <c r="D145" i="4" s="1"/>
  <c r="O136" i="1"/>
  <c r="D144" i="4" s="1"/>
  <c r="N132" i="1"/>
  <c r="L132" i="1"/>
  <c r="K132" i="1"/>
  <c r="J132" i="1"/>
  <c r="I132" i="1"/>
  <c r="B132" i="1"/>
  <c r="O131" i="1"/>
  <c r="D138" i="4" s="1"/>
  <c r="P130" i="1"/>
  <c r="E137" i="4" s="1"/>
  <c r="O130" i="1"/>
  <c r="D137" i="4" s="1"/>
  <c r="O129" i="1"/>
  <c r="D136" i="4" s="1"/>
  <c r="P128" i="1"/>
  <c r="E135" i="4" s="1"/>
  <c r="O128" i="1"/>
  <c r="D135" i="4" s="1"/>
  <c r="O127" i="1"/>
  <c r="D134" i="4" s="1"/>
  <c r="O126" i="1"/>
  <c r="D133" i="4" s="1"/>
  <c r="O125" i="1"/>
  <c r="D132" i="4" s="1"/>
  <c r="P124" i="1"/>
  <c r="E131" i="4" s="1"/>
  <c r="O124" i="1"/>
  <c r="D131" i="4" s="1"/>
  <c r="O123" i="1"/>
  <c r="D130" i="4" s="1"/>
  <c r="O122" i="1"/>
  <c r="D129" i="4" s="1"/>
  <c r="N118" i="1"/>
  <c r="L118" i="1"/>
  <c r="K118" i="1"/>
  <c r="J118" i="1"/>
  <c r="I118" i="1"/>
  <c r="B118" i="1"/>
  <c r="O117" i="1"/>
  <c r="D123" i="4" s="1"/>
  <c r="O116" i="1"/>
  <c r="D122" i="4" s="1"/>
  <c r="O115" i="1"/>
  <c r="D121" i="4" s="1"/>
  <c r="O114" i="1"/>
  <c r="D120" i="4" s="1"/>
  <c r="O113" i="1"/>
  <c r="D119" i="4" s="1"/>
  <c r="O112" i="1"/>
  <c r="D118" i="4" s="1"/>
  <c r="O111" i="1"/>
  <c r="D117" i="4" s="1"/>
  <c r="O110" i="1"/>
  <c r="D116" i="4" s="1"/>
  <c r="O109" i="1"/>
  <c r="D115" i="4" s="1"/>
  <c r="O108" i="1"/>
  <c r="D114" i="4" s="1"/>
  <c r="N104" i="1"/>
  <c r="L104" i="1"/>
  <c r="K104" i="1"/>
  <c r="J104" i="1"/>
  <c r="I104" i="1"/>
  <c r="B104" i="1"/>
  <c r="O103" i="1"/>
  <c r="D109" i="4" s="1"/>
  <c r="O102" i="1"/>
  <c r="D108" i="4" s="1"/>
  <c r="O101" i="1"/>
  <c r="D107" i="4" s="1"/>
  <c r="O100" i="1"/>
  <c r="D106" i="4" s="1"/>
  <c r="O99" i="1"/>
  <c r="D105" i="4" s="1"/>
  <c r="O98" i="1"/>
  <c r="D104" i="4" s="1"/>
  <c r="P97" i="1"/>
  <c r="E103" i="4" s="1"/>
  <c r="O97" i="1"/>
  <c r="D103" i="4" s="1"/>
  <c r="O96" i="1"/>
  <c r="D102" i="4" s="1"/>
  <c r="P95" i="1"/>
  <c r="O95" i="1"/>
  <c r="D101" i="4" s="1"/>
  <c r="O94" i="1"/>
  <c r="D100" i="4" s="1"/>
  <c r="N90" i="1"/>
  <c r="L90" i="1"/>
  <c r="K90" i="1"/>
  <c r="J90" i="1"/>
  <c r="I90" i="1"/>
  <c r="B90" i="1"/>
  <c r="O89" i="1"/>
  <c r="D95" i="4" s="1"/>
  <c r="O88" i="1"/>
  <c r="D94" i="4" s="1"/>
  <c r="O87" i="1"/>
  <c r="D93" i="4" s="1"/>
  <c r="O86" i="1"/>
  <c r="D92" i="4" s="1"/>
  <c r="O85" i="1"/>
  <c r="D91" i="4" s="1"/>
  <c r="O84" i="1"/>
  <c r="D90" i="4" s="1"/>
  <c r="O83" i="1"/>
  <c r="D89" i="4" s="1"/>
  <c r="O82" i="1"/>
  <c r="D88" i="4" s="1"/>
  <c r="O81" i="1"/>
  <c r="D87" i="4" s="1"/>
  <c r="O80" i="1"/>
  <c r="D86" i="4" s="1"/>
  <c r="N77" i="1"/>
  <c r="L77" i="1"/>
  <c r="K77" i="1"/>
  <c r="J77" i="1"/>
  <c r="I77" i="1"/>
  <c r="B77" i="1"/>
  <c r="O76" i="1"/>
  <c r="O75" i="1"/>
  <c r="D79" i="4" s="1"/>
  <c r="O74" i="1"/>
  <c r="O73" i="1"/>
  <c r="D77" i="4" s="1"/>
  <c r="O72" i="1"/>
  <c r="O71" i="1"/>
  <c r="D75" i="4" s="1"/>
  <c r="O70" i="1"/>
  <c r="O69" i="1"/>
  <c r="D73" i="4" s="1"/>
  <c r="O68" i="1"/>
  <c r="O67" i="1"/>
  <c r="D71" i="4" s="1"/>
  <c r="L19" i="1"/>
  <c r="J19" i="1"/>
  <c r="O18" i="1"/>
  <c r="D18" i="4" s="1"/>
  <c r="O15" i="1"/>
  <c r="O16" i="1"/>
  <c r="O17" i="1"/>
  <c r="D17" i="4" s="1"/>
  <c r="P17" i="1"/>
  <c r="E17" i="4" s="1"/>
  <c r="P18" i="1" l="1"/>
  <c r="E18" i="4" s="1"/>
  <c r="P101" i="1"/>
  <c r="E107" i="4" s="1"/>
  <c r="D33" i="4"/>
  <c r="P32" i="1"/>
  <c r="E33" i="4" s="1"/>
  <c r="D29" i="4"/>
  <c r="P28" i="1"/>
  <c r="E29" i="4" s="1"/>
  <c r="D25" i="4"/>
  <c r="P24" i="1"/>
  <c r="E25" i="4" s="1"/>
  <c r="D47" i="4"/>
  <c r="P45" i="1"/>
  <c r="E47" i="4" s="1"/>
  <c r="D43" i="4"/>
  <c r="P41" i="1"/>
  <c r="E43" i="4" s="1"/>
  <c r="P71" i="1"/>
  <c r="E75" i="4" s="1"/>
  <c r="P126" i="1"/>
  <c r="E133" i="4" s="1"/>
  <c r="P151" i="1"/>
  <c r="E159" i="4" s="1"/>
  <c r="D40" i="4"/>
  <c r="P38" i="1"/>
  <c r="E40" i="4" s="1"/>
  <c r="D32" i="4"/>
  <c r="P31" i="1"/>
  <c r="E32" i="4" s="1"/>
  <c r="D28" i="4"/>
  <c r="P27" i="1"/>
  <c r="E28" i="4" s="1"/>
  <c r="D46" i="4"/>
  <c r="P44" i="1"/>
  <c r="E46" i="4" s="1"/>
  <c r="D42" i="4"/>
  <c r="P40" i="1"/>
  <c r="E42" i="4" s="1"/>
  <c r="P59" i="1"/>
  <c r="E62" i="4" s="1"/>
  <c r="P55" i="1"/>
  <c r="E58" i="4" s="1"/>
  <c r="P103" i="1"/>
  <c r="E109" i="4" s="1"/>
  <c r="P122" i="1"/>
  <c r="D31" i="4"/>
  <c r="P30" i="1"/>
  <c r="E31" i="4" s="1"/>
  <c r="D27" i="4"/>
  <c r="P26" i="1"/>
  <c r="E27" i="4" s="1"/>
  <c r="D45" i="4"/>
  <c r="P43" i="1"/>
  <c r="E45" i="4" s="1"/>
  <c r="D41" i="4"/>
  <c r="P39" i="1"/>
  <c r="E41" i="4" s="1"/>
  <c r="P99" i="1"/>
  <c r="E105" i="4" s="1"/>
  <c r="P159" i="1"/>
  <c r="E167" i="4" s="1"/>
  <c r="P164" i="1"/>
  <c r="D24" i="4"/>
  <c r="P23" i="1"/>
  <c r="E24" i="4" s="1"/>
  <c r="D30" i="4"/>
  <c r="P29" i="1"/>
  <c r="E30" i="4" s="1"/>
  <c r="D26" i="4"/>
  <c r="P25" i="1"/>
  <c r="E26" i="4" s="1"/>
  <c r="D48" i="4"/>
  <c r="P46" i="1"/>
  <c r="E48" i="4" s="1"/>
  <c r="D44" i="4"/>
  <c r="P42" i="1"/>
  <c r="E44" i="4" s="1"/>
  <c r="P61" i="1"/>
  <c r="E64" i="4" s="1"/>
  <c r="P57" i="1"/>
  <c r="E60" i="4" s="1"/>
  <c r="P53" i="1"/>
  <c r="E56" i="4" s="1"/>
  <c r="O62" i="1"/>
  <c r="D65" i="4" s="1"/>
  <c r="O47" i="1"/>
  <c r="P74" i="1"/>
  <c r="E78" i="4" s="1"/>
  <c r="D78" i="4"/>
  <c r="O33" i="1"/>
  <c r="P15" i="1"/>
  <c r="E15" i="4" s="1"/>
  <c r="D15" i="4"/>
  <c r="P68" i="1"/>
  <c r="E72" i="4" s="1"/>
  <c r="D72" i="4"/>
  <c r="P73" i="1"/>
  <c r="E77" i="4" s="1"/>
  <c r="P76" i="1"/>
  <c r="E80" i="4" s="1"/>
  <c r="D80" i="4"/>
  <c r="P80" i="1"/>
  <c r="P82" i="1"/>
  <c r="E88" i="4" s="1"/>
  <c r="P84" i="1"/>
  <c r="E90" i="4" s="1"/>
  <c r="P86" i="1"/>
  <c r="E92" i="4" s="1"/>
  <c r="P88" i="1"/>
  <c r="E94" i="4" s="1"/>
  <c r="O104" i="1"/>
  <c r="P109" i="1"/>
  <c r="E115" i="4" s="1"/>
  <c r="P111" i="1"/>
  <c r="E117" i="4" s="1"/>
  <c r="P113" i="1"/>
  <c r="E119" i="4" s="1"/>
  <c r="P115" i="1"/>
  <c r="E121" i="4" s="1"/>
  <c r="P117" i="1"/>
  <c r="E123" i="4" s="1"/>
  <c r="P136" i="1"/>
  <c r="E144" i="4" s="1"/>
  <c r="P138" i="1"/>
  <c r="E146" i="4" s="1"/>
  <c r="P140" i="1"/>
  <c r="E148" i="4" s="1"/>
  <c r="P142" i="1"/>
  <c r="E150" i="4" s="1"/>
  <c r="P144" i="1"/>
  <c r="E152" i="4" s="1"/>
  <c r="O160" i="1"/>
  <c r="P173" i="1"/>
  <c r="E173" i="4" s="1"/>
  <c r="D173" i="4"/>
  <c r="O90" i="1"/>
  <c r="E101" i="4"/>
  <c r="E129" i="4"/>
  <c r="O146" i="1"/>
  <c r="P52" i="1"/>
  <c r="E55" i="4" s="1"/>
  <c r="P72" i="1"/>
  <c r="E76" i="4" s="1"/>
  <c r="D76" i="4"/>
  <c r="P81" i="1"/>
  <c r="E87" i="4" s="1"/>
  <c r="P83" i="1"/>
  <c r="E89" i="4" s="1"/>
  <c r="P85" i="1"/>
  <c r="E91" i="4" s="1"/>
  <c r="P87" i="1"/>
  <c r="E93" i="4" s="1"/>
  <c r="P89" i="1"/>
  <c r="E95" i="4" s="1"/>
  <c r="P108" i="1"/>
  <c r="P110" i="1"/>
  <c r="E116" i="4" s="1"/>
  <c r="P112" i="1"/>
  <c r="E118" i="4" s="1"/>
  <c r="P114" i="1"/>
  <c r="E120" i="4" s="1"/>
  <c r="P116" i="1"/>
  <c r="E122" i="4" s="1"/>
  <c r="O132" i="1"/>
  <c r="P137" i="1"/>
  <c r="P139" i="1"/>
  <c r="E147" i="4" s="1"/>
  <c r="P141" i="1"/>
  <c r="E149" i="4" s="1"/>
  <c r="P143" i="1"/>
  <c r="E151" i="4" s="1"/>
  <c r="P145" i="1"/>
  <c r="E153" i="4" s="1"/>
  <c r="P69" i="1"/>
  <c r="E73" i="4" s="1"/>
  <c r="P16" i="1"/>
  <c r="E16" i="4" s="1"/>
  <c r="D16" i="4"/>
  <c r="P67" i="1"/>
  <c r="E71" i="4" s="1"/>
  <c r="P70" i="1"/>
  <c r="E74" i="4" s="1"/>
  <c r="D74" i="4"/>
  <c r="P75" i="1"/>
  <c r="E79" i="4" s="1"/>
  <c r="P94" i="1"/>
  <c r="E100" i="4" s="1"/>
  <c r="P96" i="1"/>
  <c r="E102" i="4" s="1"/>
  <c r="P98" i="1"/>
  <c r="E104" i="4" s="1"/>
  <c r="P100" i="1"/>
  <c r="E106" i="4" s="1"/>
  <c r="P102" i="1"/>
  <c r="E108" i="4" s="1"/>
  <c r="O118" i="1"/>
  <c r="P123" i="1"/>
  <c r="E130" i="4" s="1"/>
  <c r="P125" i="1"/>
  <c r="E132" i="4" s="1"/>
  <c r="P127" i="1"/>
  <c r="E134" i="4" s="1"/>
  <c r="P129" i="1"/>
  <c r="E136" i="4" s="1"/>
  <c r="P131" i="1"/>
  <c r="E138" i="4" s="1"/>
  <c r="P150" i="1"/>
  <c r="P152" i="1"/>
  <c r="E160" i="4" s="1"/>
  <c r="P154" i="1"/>
  <c r="E162" i="4" s="1"/>
  <c r="P156" i="1"/>
  <c r="E164" i="4" s="1"/>
  <c r="P158" i="1"/>
  <c r="E166" i="4" s="1"/>
  <c r="P174" i="1"/>
  <c r="E174" i="4" s="1"/>
  <c r="O77" i="1"/>
  <c r="H10" i="6"/>
  <c r="H11" i="6"/>
  <c r="H12" i="6"/>
  <c r="H13" i="6"/>
  <c r="H14" i="6"/>
  <c r="H9" i="6"/>
  <c r="H30" i="6"/>
  <c r="H31" i="6"/>
  <c r="H29" i="6"/>
  <c r="H20" i="6"/>
  <c r="H21" i="6"/>
  <c r="H19" i="6"/>
  <c r="H22" i="5"/>
  <c r="I22" i="5" s="1"/>
  <c r="H23" i="5"/>
  <c r="I23" i="5" s="1"/>
  <c r="H24" i="5"/>
  <c r="I24" i="5" s="1"/>
  <c r="H25" i="5"/>
  <c r="I25" i="5" s="1"/>
  <c r="H26" i="5"/>
  <c r="I26" i="5" s="1"/>
  <c r="H27" i="5"/>
  <c r="I27" i="5" s="1"/>
  <c r="H28" i="5"/>
  <c r="I28" i="5" s="1"/>
  <c r="H29" i="5"/>
  <c r="I29" i="5" s="1"/>
  <c r="H30" i="5"/>
  <c r="I30" i="5" s="1"/>
  <c r="H21" i="5"/>
  <c r="I21" i="5" s="1"/>
  <c r="H10" i="5"/>
  <c r="I10" i="5"/>
  <c r="H11" i="5"/>
  <c r="I11" i="5"/>
  <c r="H12" i="5"/>
  <c r="I12" i="5"/>
  <c r="H13" i="5"/>
  <c r="I13" i="5" s="1"/>
  <c r="H14" i="5"/>
  <c r="I14" i="5" s="1"/>
  <c r="H15" i="5"/>
  <c r="I15" i="5" s="1"/>
  <c r="H16" i="5"/>
  <c r="I16" i="5" s="1"/>
  <c r="H17" i="5"/>
  <c r="I17" i="5" s="1"/>
  <c r="H18" i="5"/>
  <c r="I18" i="5" s="1"/>
  <c r="H9" i="5"/>
  <c r="O11" i="1"/>
  <c r="O12" i="1"/>
  <c r="O13" i="1"/>
  <c r="O14" i="1"/>
  <c r="O10" i="1"/>
  <c r="O9" i="1"/>
  <c r="D9" i="4" s="1"/>
  <c r="D49" i="4" l="1"/>
  <c r="P47" i="1"/>
  <c r="E49" i="4" s="1"/>
  <c r="D34" i="4"/>
  <c r="P33" i="1"/>
  <c r="E34" i="4" s="1"/>
  <c r="P62" i="1"/>
  <c r="E65" i="4" s="1"/>
  <c r="P13" i="1"/>
  <c r="E13" i="4" s="1"/>
  <c r="D13" i="4"/>
  <c r="P11" i="1"/>
  <c r="E11" i="4" s="1"/>
  <c r="D11" i="4"/>
  <c r="P14" i="1"/>
  <c r="E14" i="4" s="1"/>
  <c r="D14" i="4"/>
  <c r="H19" i="5"/>
  <c r="P77" i="1"/>
  <c r="P118" i="1"/>
  <c r="E114" i="4"/>
  <c r="P104" i="1"/>
  <c r="P90" i="1"/>
  <c r="E86" i="4"/>
  <c r="P12" i="1"/>
  <c r="E12" i="4" s="1"/>
  <c r="D12" i="4"/>
  <c r="P146" i="1"/>
  <c r="E145" i="4"/>
  <c r="P10" i="1"/>
  <c r="E10" i="4" s="1"/>
  <c r="D10" i="4"/>
  <c r="E158" i="4"/>
  <c r="P160" i="1"/>
  <c r="P132" i="1"/>
  <c r="I9" i="5"/>
  <c r="I19" i="5" s="1"/>
  <c r="P9" i="1"/>
  <c r="E9" i="4" s="1"/>
  <c r="C262" i="9" l="1"/>
  <c r="C164" i="9"/>
  <c r="C66" i="9"/>
  <c r="C287" i="9"/>
  <c r="C189" i="9"/>
  <c r="C91" i="9"/>
  <c r="C213" i="9"/>
  <c r="C115" i="9"/>
  <c r="C18" i="9"/>
  <c r="C238" i="9"/>
  <c r="C140" i="9"/>
  <c r="C42" i="9"/>
  <c r="G10" i="5"/>
  <c r="G11" i="5"/>
  <c r="G12" i="5"/>
  <c r="G13" i="5"/>
  <c r="G14" i="5"/>
  <c r="G15" i="5"/>
  <c r="G16" i="5"/>
  <c r="G17" i="5"/>
  <c r="G18" i="5"/>
  <c r="G9" i="5"/>
  <c r="G19" i="5" l="1"/>
  <c r="E19" i="5"/>
  <c r="H119" i="6" l="1"/>
  <c r="H120" i="6"/>
  <c r="H121" i="6"/>
  <c r="H122" i="6"/>
  <c r="H109" i="6"/>
  <c r="H110" i="6"/>
  <c r="H111" i="6"/>
  <c r="H112" i="6"/>
  <c r="H99" i="6"/>
  <c r="H100" i="6"/>
  <c r="H101" i="6"/>
  <c r="H102" i="6"/>
  <c r="H89" i="6"/>
  <c r="H90" i="6"/>
  <c r="H91" i="6"/>
  <c r="H92" i="6"/>
  <c r="H79" i="6"/>
  <c r="H80" i="6"/>
  <c r="H81" i="6"/>
  <c r="H82" i="6"/>
  <c r="H69" i="6"/>
  <c r="H70" i="6"/>
  <c r="H71" i="6"/>
  <c r="H72" i="6"/>
  <c r="H59" i="6"/>
  <c r="H60" i="6"/>
  <c r="H61" i="6"/>
  <c r="H62" i="6"/>
  <c r="H49" i="6"/>
  <c r="H50" i="6"/>
  <c r="H51" i="6"/>
  <c r="H52" i="6"/>
  <c r="H39" i="6"/>
  <c r="H40" i="6"/>
  <c r="H41" i="6"/>
  <c r="H42" i="6"/>
  <c r="I73" i="7" l="1"/>
  <c r="G73" i="7"/>
  <c r="I72" i="7"/>
  <c r="G72" i="7"/>
  <c r="I68" i="7"/>
  <c r="G68" i="7"/>
  <c r="I67" i="7"/>
  <c r="G67" i="7"/>
  <c r="I63" i="7"/>
  <c r="G63" i="7"/>
  <c r="I62" i="7"/>
  <c r="G62" i="7"/>
  <c r="I58" i="7"/>
  <c r="G58" i="7"/>
  <c r="I57" i="7"/>
  <c r="G57" i="7"/>
  <c r="I52" i="7"/>
  <c r="G52" i="7"/>
  <c r="I51" i="7"/>
  <c r="G51" i="7"/>
  <c r="I47" i="7"/>
  <c r="G47" i="7"/>
  <c r="I46" i="7"/>
  <c r="G46" i="7"/>
  <c r="I42" i="7"/>
  <c r="I43" i="7" s="1"/>
  <c r="G42" i="7"/>
  <c r="I41" i="7"/>
  <c r="G41" i="7"/>
  <c r="I37" i="7"/>
  <c r="I38" i="7" s="1"/>
  <c r="G37" i="7"/>
  <c r="I36" i="7"/>
  <c r="G36" i="7"/>
  <c r="I31" i="7"/>
  <c r="G31" i="7"/>
  <c r="I30" i="7"/>
  <c r="G30" i="7"/>
  <c r="I26" i="7"/>
  <c r="G26" i="7"/>
  <c r="I25" i="7"/>
  <c r="G25" i="7"/>
  <c r="I21" i="7"/>
  <c r="G21" i="7"/>
  <c r="I20" i="7"/>
  <c r="G20" i="7"/>
  <c r="I16" i="7"/>
  <c r="G16" i="7"/>
  <c r="I15" i="7"/>
  <c r="G15" i="7"/>
  <c r="G31" i="5"/>
  <c r="E31" i="5"/>
  <c r="I31" i="5"/>
  <c r="J16" i="7" l="1"/>
  <c r="J21" i="7"/>
  <c r="J26" i="7"/>
  <c r="J47" i="7"/>
  <c r="J52" i="7"/>
  <c r="I22" i="7"/>
  <c r="I27" i="7"/>
  <c r="I48" i="7"/>
  <c r="I53" i="7"/>
  <c r="I59" i="7"/>
  <c r="I64" i="7"/>
  <c r="I69" i="7"/>
  <c r="I74" i="7"/>
  <c r="J41" i="7"/>
  <c r="J46" i="7"/>
  <c r="J48" i="7" s="1"/>
  <c r="C191" i="9" s="1"/>
  <c r="I32" i="7"/>
  <c r="J30" i="7"/>
  <c r="J20" i="7"/>
  <c r="J22" i="7" s="1"/>
  <c r="C68" i="9" s="1"/>
  <c r="J36" i="7"/>
  <c r="I17" i="7"/>
  <c r="H31" i="5"/>
  <c r="J74" i="7"/>
  <c r="J51" i="7"/>
  <c r="J53" i="7" s="1"/>
  <c r="C215" i="9" s="1"/>
  <c r="J69" i="7"/>
  <c r="C289" i="9" s="1"/>
  <c r="J31" i="7"/>
  <c r="J32" i="7" s="1"/>
  <c r="C117" i="9" s="1"/>
  <c r="J37" i="7"/>
  <c r="J42" i="7"/>
  <c r="J25" i="7"/>
  <c r="J15" i="7"/>
  <c r="J17" i="7" s="1"/>
  <c r="C44" i="9" s="1"/>
  <c r="B290" i="9"/>
  <c r="B289" i="9"/>
  <c r="B288" i="9"/>
  <c r="B287" i="9"/>
  <c r="A278" i="9"/>
  <c r="B265" i="9"/>
  <c r="B264" i="9"/>
  <c r="B263" i="9"/>
  <c r="B262" i="9"/>
  <c r="A253" i="9"/>
  <c r="B241" i="9"/>
  <c r="B240" i="9"/>
  <c r="B239" i="9"/>
  <c r="B238" i="9"/>
  <c r="A229" i="9"/>
  <c r="B216" i="9"/>
  <c r="B215" i="9"/>
  <c r="B214" i="9"/>
  <c r="B213" i="9"/>
  <c r="A204" i="9"/>
  <c r="B192" i="9"/>
  <c r="B191" i="9"/>
  <c r="B190" i="9"/>
  <c r="B189" i="9"/>
  <c r="A180" i="9"/>
  <c r="B167" i="9"/>
  <c r="B166" i="9"/>
  <c r="B165" i="9"/>
  <c r="B164" i="9"/>
  <c r="A155" i="9"/>
  <c r="B143" i="9"/>
  <c r="B142" i="9"/>
  <c r="B141" i="9"/>
  <c r="B140" i="9"/>
  <c r="A131" i="9"/>
  <c r="B118" i="9"/>
  <c r="B117" i="9"/>
  <c r="B116" i="9"/>
  <c r="B115" i="9"/>
  <c r="A106" i="9"/>
  <c r="A82" i="9"/>
  <c r="B94" i="9"/>
  <c r="B93" i="9"/>
  <c r="B91" i="9"/>
  <c r="B92" i="9"/>
  <c r="B69" i="9"/>
  <c r="B68" i="9"/>
  <c r="B67" i="9"/>
  <c r="B66" i="9"/>
  <c r="J27" i="7" l="1"/>
  <c r="C93" i="9" s="1"/>
  <c r="J64" i="7"/>
  <c r="C264" i="9" s="1"/>
  <c r="J38" i="7"/>
  <c r="C142" i="9" s="1"/>
  <c r="J59" i="7"/>
  <c r="C240" i="9" s="1"/>
  <c r="J43" i="7"/>
  <c r="C166" i="9" s="1"/>
  <c r="G8" i="8"/>
  <c r="I8" i="8" l="1"/>
  <c r="H8" i="8" s="1"/>
  <c r="E9" i="8" s="1"/>
  <c r="G9" i="8" s="1"/>
  <c r="B45" i="9"/>
  <c r="B44" i="9"/>
  <c r="B43" i="9"/>
  <c r="B42" i="9"/>
  <c r="I9" i="8" l="1"/>
  <c r="H9" i="8" s="1"/>
  <c r="E10" i="8" s="1"/>
  <c r="G10" i="8" s="1"/>
  <c r="B63" i="1"/>
  <c r="B19" i="1"/>
  <c r="G125" i="6"/>
  <c r="F125" i="6"/>
  <c r="H124" i="6"/>
  <c r="H123" i="6"/>
  <c r="G115" i="6"/>
  <c r="F115" i="6"/>
  <c r="H114" i="6"/>
  <c r="H113" i="6"/>
  <c r="G105" i="6"/>
  <c r="F105" i="6"/>
  <c r="H104" i="6"/>
  <c r="H103" i="6"/>
  <c r="G95" i="6"/>
  <c r="F95" i="6"/>
  <c r="H94" i="6"/>
  <c r="H93" i="6"/>
  <c r="G85" i="6"/>
  <c r="F85" i="6"/>
  <c r="H84" i="6"/>
  <c r="H83" i="6"/>
  <c r="G75" i="6"/>
  <c r="F75" i="6"/>
  <c r="H74" i="6"/>
  <c r="H73" i="6"/>
  <c r="G65" i="6"/>
  <c r="F65" i="6"/>
  <c r="H64" i="6"/>
  <c r="H63" i="6"/>
  <c r="G55" i="6"/>
  <c r="F55" i="6"/>
  <c r="H54" i="6"/>
  <c r="H53" i="6"/>
  <c r="G45" i="6"/>
  <c r="F45" i="6"/>
  <c r="H44" i="6"/>
  <c r="H43" i="6"/>
  <c r="G35" i="6"/>
  <c r="F35" i="6"/>
  <c r="H34" i="6"/>
  <c r="H33" i="6"/>
  <c r="G25" i="6"/>
  <c r="H24" i="6"/>
  <c r="H23" i="6"/>
  <c r="N63" i="1"/>
  <c r="L63" i="1"/>
  <c r="K63" i="1"/>
  <c r="J63" i="1"/>
  <c r="I63" i="1"/>
  <c r="N34" i="1"/>
  <c r="L34" i="1"/>
  <c r="K34" i="1"/>
  <c r="J34" i="1"/>
  <c r="I34" i="1"/>
  <c r="I10" i="8" l="1"/>
  <c r="H10" i="8"/>
  <c r="E11" i="8" s="1"/>
  <c r="G11" i="8" s="1"/>
  <c r="H35" i="6"/>
  <c r="C67" i="9" s="1"/>
  <c r="H45" i="6"/>
  <c r="C92" i="9" s="1"/>
  <c r="H55" i="6"/>
  <c r="C116" i="9" s="1"/>
  <c r="H65" i="6"/>
  <c r="C141" i="9" s="1"/>
  <c r="H75" i="6"/>
  <c r="C165" i="9" s="1"/>
  <c r="H125" i="6"/>
  <c r="C288" i="9" s="1"/>
  <c r="O63" i="1"/>
  <c r="D154" i="4"/>
  <c r="B229" i="9" s="1"/>
  <c r="D183" i="4"/>
  <c r="B278" i="9" s="1"/>
  <c r="D50" i="4"/>
  <c r="B57" i="9" s="1"/>
  <c r="D81" i="4"/>
  <c r="B106" i="9" s="1"/>
  <c r="D110" i="4"/>
  <c r="B155" i="9" s="1"/>
  <c r="D124" i="4"/>
  <c r="B180" i="9" s="1"/>
  <c r="D139" i="4"/>
  <c r="B204" i="9" s="1"/>
  <c r="H85" i="6"/>
  <c r="C190" i="9" s="1"/>
  <c r="H95" i="6"/>
  <c r="C214" i="9" s="1"/>
  <c r="H105" i="6"/>
  <c r="C239" i="9" s="1"/>
  <c r="H115" i="6"/>
  <c r="C263" i="9" s="1"/>
  <c r="D168" i="4"/>
  <c r="B253" i="9" s="1"/>
  <c r="O48" i="1"/>
  <c r="O34" i="1"/>
  <c r="G15" i="6"/>
  <c r="I19" i="1"/>
  <c r="I11" i="8" l="1"/>
  <c r="H11" i="8"/>
  <c r="E12" i="8" s="1"/>
  <c r="G12" i="8" s="1"/>
  <c r="D66" i="4"/>
  <c r="B82" i="9" s="1"/>
  <c r="D96" i="4"/>
  <c r="B131" i="9" s="1"/>
  <c r="D35" i="4"/>
  <c r="B33" i="9" s="1"/>
  <c r="P63" i="1"/>
  <c r="P34" i="1"/>
  <c r="E139" i="4"/>
  <c r="C204" i="9" s="1"/>
  <c r="C205" i="9" s="1"/>
  <c r="P48" i="1"/>
  <c r="E183" i="4"/>
  <c r="C278" i="9" s="1"/>
  <c r="C279" i="9" s="1"/>
  <c r="B21" i="9"/>
  <c r="B18" i="9"/>
  <c r="B19" i="9"/>
  <c r="B20" i="9"/>
  <c r="I12" i="8" l="1"/>
  <c r="H12" i="8" s="1"/>
  <c r="E13" i="8" s="1"/>
  <c r="G13" i="8" s="1"/>
  <c r="E66" i="4"/>
  <c r="C82" i="9" s="1"/>
  <c r="C83" i="9" s="1"/>
  <c r="E50" i="4"/>
  <c r="C57" i="9" s="1"/>
  <c r="C58" i="9" s="1"/>
  <c r="E154" i="4"/>
  <c r="C229" i="9" s="1"/>
  <c r="C230" i="9" s="1"/>
  <c r="E168" i="4"/>
  <c r="C253" i="9" s="1"/>
  <c r="C254" i="9" s="1"/>
  <c r="E81" i="4"/>
  <c r="C106" i="9" s="1"/>
  <c r="C107" i="9" s="1"/>
  <c r="E35" i="4"/>
  <c r="C33" i="9" s="1"/>
  <c r="C34" i="9" s="1"/>
  <c r="E124" i="4"/>
  <c r="C180" i="9" s="1"/>
  <c r="C181" i="9" s="1"/>
  <c r="E110" i="4"/>
  <c r="C155" i="9" s="1"/>
  <c r="C156" i="9" s="1"/>
  <c r="E96" i="4"/>
  <c r="C131" i="9" s="1"/>
  <c r="C132" i="9" s="1"/>
  <c r="I13" i="8" l="1"/>
  <c r="H13" i="8" s="1"/>
  <c r="E14" i="8" s="1"/>
  <c r="G14" i="8" s="1"/>
  <c r="D19" i="4"/>
  <c r="B9" i="9" s="1"/>
  <c r="O19" i="1"/>
  <c r="I14" i="8" l="1"/>
  <c r="H14" i="8" s="1"/>
  <c r="E15" i="8" s="1"/>
  <c r="G15" i="8" s="1"/>
  <c r="E19" i="4"/>
  <c r="C9" i="9" s="1"/>
  <c r="C10" i="9" s="1"/>
  <c r="K19" i="1"/>
  <c r="N19" i="1"/>
  <c r="I15" i="8" l="1"/>
  <c r="H15" i="8" s="1"/>
  <c r="E16" i="8" s="1"/>
  <c r="G16" i="8" s="1"/>
  <c r="P19" i="1"/>
  <c r="I16" i="8" l="1"/>
  <c r="H16" i="8" s="1"/>
  <c r="E17" i="8" s="1"/>
  <c r="G17" i="8" s="1"/>
  <c r="I10" i="7"/>
  <c r="J10" i="7" s="1"/>
  <c r="I9" i="7"/>
  <c r="J9" i="7" s="1"/>
  <c r="I17" i="8" l="1"/>
  <c r="H17" i="8"/>
  <c r="E18" i="8" s="1"/>
  <c r="G18" i="8" s="1"/>
  <c r="I18" i="8" s="1"/>
  <c r="H18" i="8" s="1"/>
  <c r="E19" i="8" s="1"/>
  <c r="G19" i="8" s="1"/>
  <c r="J11" i="7"/>
  <c r="I11" i="7"/>
  <c r="C20" i="9" l="1"/>
  <c r="F15" i="6"/>
  <c r="H15" i="6"/>
  <c r="C19" i="9" s="1"/>
  <c r="F25" i="6" l="1"/>
  <c r="H22" i="6"/>
  <c r="H25" i="6" s="1"/>
  <c r="C43" i="9" s="1"/>
  <c r="I19" i="8" l="1"/>
  <c r="H19" i="8" s="1"/>
  <c r="I20" i="8" l="1"/>
  <c r="C291" i="9" s="1"/>
  <c r="C293" i="9" s="1"/>
  <c r="C168" i="9" l="1"/>
  <c r="C170" i="9" s="1"/>
  <c r="C95" i="9"/>
  <c r="C97" i="9" s="1"/>
  <c r="C119" i="9"/>
  <c r="C121" i="9" s="1"/>
  <c r="C265" i="9"/>
  <c r="C266" i="9" s="1"/>
  <c r="C217" i="9"/>
  <c r="C219" i="9" s="1"/>
  <c r="C242" i="9"/>
  <c r="C244" i="9" s="1"/>
  <c r="C70" i="9"/>
  <c r="C72" i="9" s="1"/>
  <c r="C193" i="9"/>
  <c r="C195" i="9" s="1"/>
  <c r="C46" i="9"/>
  <c r="C48" i="9" s="1"/>
  <c r="C22" i="9"/>
  <c r="C24" i="9" s="1"/>
  <c r="C144" i="9"/>
  <c r="C146" i="9" s="1"/>
  <c r="F17" i="9" l="1"/>
  <c r="F15" i="9"/>
  <c r="F13" i="9"/>
  <c r="F11" i="9"/>
  <c r="F19" i="9" l="1"/>
</calcChain>
</file>

<file path=xl/sharedStrings.xml><?xml version="1.0" encoding="utf-8"?>
<sst xmlns="http://schemas.openxmlformats.org/spreadsheetml/2006/main" count="738" uniqueCount="139">
  <si>
    <t>DATE</t>
  </si>
  <si>
    <t>TOTAL</t>
  </si>
  <si>
    <t xml:space="preserve"> </t>
  </si>
  <si>
    <t>Customer segment</t>
  </si>
  <si>
    <t>DAILY SALES REGISTRATION</t>
  </si>
  <si>
    <t>Provided service</t>
  </si>
  <si>
    <t>Used materials</t>
  </si>
  <si>
    <t>Hours of work</t>
  </si>
  <si>
    <t>Other expenses</t>
  </si>
  <si>
    <t>Total</t>
  </si>
  <si>
    <t>Total Sales</t>
  </si>
  <si>
    <t>Material type</t>
  </si>
  <si>
    <t>Purchase cost</t>
  </si>
  <si>
    <t>Rest value</t>
  </si>
  <si>
    <t>Type</t>
  </si>
  <si>
    <t>Date of payment</t>
  </si>
  <si>
    <t>Name of employee</t>
  </si>
  <si>
    <t>Type of job</t>
  </si>
  <si>
    <t>TAXES in %</t>
  </si>
  <si>
    <t>Total payment</t>
  </si>
  <si>
    <t>Salary of employees &amp; labour costs</t>
  </si>
  <si>
    <t>Depreciation year</t>
  </si>
  <si>
    <t>Depreciation</t>
  </si>
  <si>
    <t>Loan</t>
  </si>
  <si>
    <t>Description</t>
  </si>
  <si>
    <t>Remaining</t>
  </si>
  <si>
    <t>Interest</t>
  </si>
  <si>
    <t xml:space="preserve">Profit scheme </t>
  </si>
  <si>
    <t>WASHCO</t>
  </si>
  <si>
    <t>Total price</t>
  </si>
  <si>
    <t>SchoolWASH</t>
  </si>
  <si>
    <t>HealthWASH</t>
  </si>
  <si>
    <t>Farmer</t>
  </si>
  <si>
    <t>Other individual</t>
  </si>
  <si>
    <t>Replacement</t>
  </si>
  <si>
    <t>Maintanance</t>
  </si>
  <si>
    <t>New installation</t>
  </si>
  <si>
    <t>Monthly depriciation costs</t>
  </si>
  <si>
    <t>Type of expense</t>
  </si>
  <si>
    <t>Salary</t>
  </si>
  <si>
    <t>Purchase year</t>
  </si>
  <si>
    <t>Costs for materials</t>
  </si>
  <si>
    <t>Selling price materials</t>
  </si>
  <si>
    <t>Description of other expenses</t>
  </si>
  <si>
    <t>Rest Value</t>
  </si>
  <si>
    <t>Total depreciation costs</t>
  </si>
  <si>
    <t>No.</t>
  </si>
  <si>
    <t>Labor income</t>
  </si>
  <si>
    <t>Total income</t>
  </si>
  <si>
    <t>Salary or labor costs</t>
  </si>
  <si>
    <t>Materials used for maintanance which can't be sold directly to the customer</t>
  </si>
  <si>
    <t>Monthly payment</t>
  </si>
  <si>
    <t>Graphs</t>
  </si>
  <si>
    <t>Inspection</t>
  </si>
  <si>
    <t>Cleaning</t>
  </si>
  <si>
    <t>Over haul</t>
  </si>
  <si>
    <t>MONTH 1</t>
  </si>
  <si>
    <t>MONTH 2</t>
  </si>
  <si>
    <t>MONTH 3</t>
  </si>
  <si>
    <t>MONTH 4</t>
  </si>
  <si>
    <t>MONTH 5</t>
  </si>
  <si>
    <t>MONTH 6</t>
  </si>
  <si>
    <t>MONTH 7</t>
  </si>
  <si>
    <t>MONTH 8</t>
  </si>
  <si>
    <t>MONTH 9</t>
  </si>
  <si>
    <t>MONTH 10</t>
  </si>
  <si>
    <t>MONTH 11</t>
  </si>
  <si>
    <t>MONTH 12</t>
  </si>
  <si>
    <t>Month 1</t>
  </si>
  <si>
    <t>Month 2</t>
  </si>
  <si>
    <t>Month 3</t>
  </si>
  <si>
    <t>Month 4</t>
  </si>
  <si>
    <t>Month 5</t>
  </si>
  <si>
    <t>Month 6</t>
  </si>
  <si>
    <t>Month 7</t>
  </si>
  <si>
    <t>Month 8</t>
  </si>
  <si>
    <t>Month 9</t>
  </si>
  <si>
    <t>Month 10</t>
  </si>
  <si>
    <t>Month 11</t>
  </si>
  <si>
    <t>Month 12</t>
  </si>
  <si>
    <t>Month 13</t>
  </si>
  <si>
    <t>SALES</t>
  </si>
  <si>
    <t>Purchase data</t>
  </si>
  <si>
    <t>Depreciation date</t>
  </si>
  <si>
    <t>Valuable months</t>
  </si>
  <si>
    <t>Monthly depreciation costs</t>
  </si>
  <si>
    <t>Raw materials</t>
  </si>
  <si>
    <t>At this moment no SME can get a loan from any institution</t>
  </si>
  <si>
    <t>Loan - Is not needed yet</t>
  </si>
  <si>
    <t>Open ended wrenches</t>
  </si>
  <si>
    <t>Screw drives for flat (two)</t>
  </si>
  <si>
    <t>Pipe wrench 24"</t>
  </si>
  <si>
    <t>Pipe wrench 18"</t>
  </si>
  <si>
    <t>Pipe wrench 36"</t>
  </si>
  <si>
    <t>Cupboard 3 stage</t>
  </si>
  <si>
    <t>Table 2 (drawers with metal stand 1.5*0.75*075)</t>
  </si>
  <si>
    <t>Chair (wood with metal stand)</t>
  </si>
  <si>
    <t>Multi meter</t>
  </si>
  <si>
    <t>Hero Motor cycle Plate # 1801</t>
  </si>
  <si>
    <t xml:space="preserve"> ETB -   </t>
  </si>
  <si>
    <t>Annual</t>
  </si>
  <si>
    <t>Fixed materials Annual Deprciation cost per month</t>
  </si>
  <si>
    <t>Newly Add Materials Cost</t>
  </si>
  <si>
    <t>Total depreciation costs per year</t>
  </si>
  <si>
    <t>Total Income</t>
  </si>
  <si>
    <t>Gross Profit</t>
  </si>
  <si>
    <t>First Quarter</t>
  </si>
  <si>
    <t>Second Quarter</t>
  </si>
  <si>
    <t>Third Quarter</t>
  </si>
  <si>
    <t>Fourth Quarter</t>
  </si>
  <si>
    <t>MONTHLY Revenu</t>
  </si>
  <si>
    <t xml:space="preserve">Tabiya Limiat, Kushet Adi Abo hagoss Tsegay , Liyu bota Mesno 77 Electric  </t>
  </si>
  <si>
    <t xml:space="preserve">Glue </t>
  </si>
  <si>
    <t xml:space="preserve">Mobile card ,fuel </t>
  </si>
  <si>
    <t xml:space="preserve">Tabita Limiat, Kushet Boran, Liyu bota Boran , Hand Pump </t>
  </si>
  <si>
    <t xml:space="preserve">Fuel </t>
  </si>
  <si>
    <t>Raya Alamata PLSP</t>
  </si>
  <si>
    <t xml:space="preserve">Tabiya Gerjale, Kushet Adi Hashim, Liyu Bota Irrigation Number 62, Electric </t>
  </si>
  <si>
    <t xml:space="preserve">Fuel and Mobile card </t>
  </si>
  <si>
    <t>Tabiya Gerjale, Kushet Agamte , Liyu Bota Irrigation BZ4 , Electric</t>
  </si>
  <si>
    <t>Fuel</t>
  </si>
  <si>
    <t xml:space="preserve">Tabiya Selam Bi kalsi , Kushet Dima , Liyu Bota irrigation 75, Electric </t>
  </si>
  <si>
    <t xml:space="preserve">Motor Oil </t>
  </si>
  <si>
    <t xml:space="preserve">Tabitya Limiat, Kushet Adihana , Liyu Bota Irrigation Number 81, Electric </t>
  </si>
  <si>
    <t xml:space="preserve">Tabiya Limiat , Kushet Adihana, Luyu Bota Irrigation 81 , electric  </t>
  </si>
  <si>
    <t>Tabiya Limiat , Kushet Mendefera , Liyu Bota Boran Adi alem , Hand Pump</t>
  </si>
  <si>
    <t xml:space="preserve">Solvent </t>
  </si>
  <si>
    <t xml:space="preserve">Tabiya Selen Wiha, Kusht Bedena Wako,Liyu Bota Bedena Wako, Generetor  </t>
  </si>
  <si>
    <t xml:space="preserve">Tabiya Timuga , Kushet Gota Mariyam ,  Liyu Bota Gota Mariyam , Electric  </t>
  </si>
  <si>
    <t>Unian HDPE</t>
  </si>
  <si>
    <t>Kueba 1/2</t>
  </si>
  <si>
    <t xml:space="preserve">Tabiya selen wiha , Kushet Gedera , Liyu Bota Gedera </t>
  </si>
  <si>
    <t xml:space="preserve">Berhe </t>
  </si>
  <si>
    <t>Chair</t>
  </si>
  <si>
    <t>Mesele</t>
  </si>
  <si>
    <t>Sales</t>
  </si>
  <si>
    <t>Monthly</t>
  </si>
  <si>
    <t>Loan from DECSI</t>
  </si>
  <si>
    <t>Amount of loan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</si>
</sst>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quot;€&quot;\ * #,##0.00_ ;_ &quot;€&quot;\ * \-#,##0.00_ ;_ &quot;€&quot;\ * &quot;-&quot;??_ ;_ @_ "/>
    <numFmt numFmtId="165" formatCode="_ [$ETB]\ * #,##0.00_ ;_ [$ETB]\ * \-#,##0.00_ ;_ [$ETB]\ * &quot;-&quot;??_ ;_ @_ "/>
    <numFmt numFmtId="166" formatCode="d/m/yyyy"/>
    <numFmt numFmtId="167" formatCode="[$-409]d\-mmm\-yy;@"/>
    <numFmt numFmtId="168" formatCode="_([$ETB]\ * #,##0.00_);_([$ETB]\ * \(#,##0.00\);_([$ETB]\ * &quot;-&quot;??_);_(@_)"/>
  </numFmts>
  <fonts count="40" x14ac:knownFonts="1">
    <font>
      <sz val="10"/>
      <color theme="1" tint="0.24994659260841701"/>
      <name val="Trebuchet MS"/>
      <family val="2"/>
      <scheme val="minor"/>
    </font>
    <font>
      <b/>
      <sz val="28"/>
      <color theme="6"/>
      <name val="Trebuchet MS"/>
      <family val="2"/>
      <scheme val="minor"/>
    </font>
    <font>
      <b/>
      <sz val="10"/>
      <color theme="1" tint="0.24994659260841701"/>
      <name val="Trebuchet MS"/>
      <family val="2"/>
      <scheme val="minor"/>
    </font>
    <font>
      <sz val="10"/>
      <color rgb="FFC00000"/>
      <name val="Trebuchet MS"/>
      <family val="2"/>
      <scheme val="minor"/>
    </font>
    <font>
      <sz val="10"/>
      <color theme="1" tint="0.24994659260841701"/>
      <name val="Trebuchet MS"/>
      <family val="2"/>
      <scheme val="minor"/>
    </font>
    <font>
      <b/>
      <sz val="28"/>
      <color theme="7" tint="-0.249977111117893"/>
      <name val="Trebuchet MS"/>
      <family val="2"/>
      <scheme val="minor"/>
    </font>
    <font>
      <sz val="10"/>
      <color theme="7" tint="-0.249977111117893"/>
      <name val="Trebuchet MS"/>
      <family val="2"/>
      <scheme val="minor"/>
    </font>
    <font>
      <sz val="10"/>
      <name val="Trebuchet MS"/>
      <family val="2"/>
      <scheme val="minor"/>
    </font>
    <font>
      <b/>
      <sz val="10"/>
      <color rgb="FFC00000"/>
      <name val="Trebuchet MS"/>
      <family val="2"/>
      <scheme val="minor"/>
    </font>
    <font>
      <b/>
      <sz val="28"/>
      <color rgb="FFFFC000"/>
      <name val="Trebuchet MS"/>
      <family val="2"/>
      <scheme val="minor"/>
    </font>
    <font>
      <sz val="10"/>
      <color rgb="FFFFC000"/>
      <name val="Trebuchet MS"/>
      <family val="2"/>
      <scheme val="minor"/>
    </font>
    <font>
      <b/>
      <sz val="28"/>
      <color theme="9" tint="-0.249977111117893"/>
      <name val="Trebuchet MS"/>
      <family val="2"/>
      <scheme val="minor"/>
    </font>
    <font>
      <sz val="10"/>
      <color theme="9" tint="-0.249977111117893"/>
      <name val="Trebuchet MS"/>
      <family val="2"/>
      <scheme val="minor"/>
    </font>
    <font>
      <b/>
      <sz val="20"/>
      <color theme="7" tint="-0.249977111117893"/>
      <name val="Trebuchet MS"/>
      <family val="2"/>
      <scheme val="minor"/>
    </font>
    <font>
      <b/>
      <sz val="28"/>
      <color rgb="FF00B050"/>
      <name val="Trebuchet MS"/>
      <family val="2"/>
      <scheme val="minor"/>
    </font>
    <font>
      <sz val="10"/>
      <color rgb="FF00B050"/>
      <name val="Trebuchet MS"/>
      <family val="2"/>
      <scheme val="minor"/>
    </font>
    <font>
      <b/>
      <sz val="18"/>
      <color rgb="FF00B050"/>
      <name val="Trebuchet MS"/>
      <family val="2"/>
      <scheme val="minor"/>
    </font>
    <font>
      <sz val="10"/>
      <color rgb="FF0070C0"/>
      <name val="Trebuchet MS"/>
      <family val="2"/>
      <scheme val="minor"/>
    </font>
    <font>
      <sz val="10"/>
      <color rgb="FFCC9900"/>
      <name val="Trebuchet MS"/>
      <family val="2"/>
      <scheme val="minor"/>
    </font>
    <font>
      <b/>
      <sz val="28"/>
      <color rgb="FFCC9900"/>
      <name val="Trebuchet MS"/>
      <family val="2"/>
      <scheme val="minor"/>
    </font>
    <font>
      <sz val="10"/>
      <color theme="8"/>
      <name val="Trebuchet MS"/>
      <family val="2"/>
      <scheme val="minor"/>
    </font>
    <font>
      <sz val="48"/>
      <color theme="8" tint="0.39997558519241921"/>
      <name val="Trebuchet MS"/>
      <family val="2"/>
      <scheme val="minor"/>
    </font>
    <font>
      <b/>
      <sz val="10"/>
      <color rgb="FF00B050"/>
      <name val="Trebuchet MS"/>
      <family val="2"/>
      <scheme val="minor"/>
    </font>
    <font>
      <sz val="11"/>
      <color rgb="FF000000"/>
      <name val="Segoe UI"/>
      <family val="2"/>
    </font>
    <font>
      <b/>
      <sz val="11"/>
      <color rgb="FF00B050"/>
      <name val="Trebuchet MS"/>
      <family val="2"/>
      <scheme val="minor"/>
    </font>
    <font>
      <sz val="10"/>
      <color theme="1" tint="0.24994659260841701"/>
      <name val="Trebuchet MS"/>
      <family val="2"/>
      <scheme val="minor"/>
    </font>
    <font>
      <sz val="28"/>
      <color rgb="FF00B050"/>
      <name val="Trebuchet MS"/>
      <family val="2"/>
      <scheme val="minor"/>
    </font>
    <font>
      <sz val="10"/>
      <name val="Trebuchet MS"/>
      <family val="2"/>
      <scheme val="minor"/>
    </font>
    <font>
      <sz val="24"/>
      <color theme="1" tint="0.24994659260841701"/>
      <name val="Trebuchet MS"/>
      <family val="2"/>
      <scheme val="minor"/>
    </font>
    <font>
      <sz val="24"/>
      <color rgb="FFFF0000"/>
      <name val="Trebuchet MS"/>
      <family val="2"/>
      <scheme val="minor"/>
    </font>
    <font>
      <sz val="10"/>
      <color theme="1" tint="0.24994659260841701"/>
      <name val="Trebuchet MS"/>
      <family val="2"/>
      <scheme val="minor"/>
    </font>
    <font>
      <sz val="10"/>
      <name val="Trebuchet MS"/>
      <family val="2"/>
      <scheme val="minor"/>
    </font>
    <font>
      <sz val="10"/>
      <color theme="1" tint="0.24994659260841701"/>
      <name val="Trebuchet MS"/>
      <family val="2"/>
      <scheme val="minor"/>
    </font>
    <font>
      <sz val="10"/>
      <name val="Trebuchet MS"/>
      <family val="2"/>
      <scheme val="minor"/>
    </font>
    <font>
      <b/>
      <sz val="18"/>
      <color theme="1" tint="0.24994659260841701"/>
      <name val="Trebuchet MS"/>
      <family val="2"/>
      <scheme val="minor"/>
    </font>
    <font>
      <b/>
      <sz val="22"/>
      <color theme="1" tint="0.24994659260841701"/>
      <name val="Trebuchet MS"/>
      <family val="2"/>
      <scheme val="minor"/>
    </font>
    <font>
      <b/>
      <sz val="12"/>
      <color theme="1"/>
      <name val="Trebuchet MS"/>
      <family val="2"/>
      <scheme val="minor"/>
    </font>
    <font>
      <sz val="12"/>
      <color theme="1"/>
      <name val="Trebuchet MS"/>
      <family val="2"/>
      <scheme val="minor"/>
    </font>
    <font>
      <sz val="16"/>
      <color theme="8"/>
      <name val="Trebuchet MS"/>
      <family val="2"/>
      <scheme val="minor"/>
    </font>
    <font>
      <b/>
      <sz val="10"/>
      <color theme="1" tint="0.24994659260841701"/>
      <name val="Trebuchet MS"/>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EAEAEA"/>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79998168889431442"/>
        <bgColor indexed="64"/>
      </patternFill>
    </fill>
  </fills>
  <borders count="3">
    <border>
      <left/>
      <right/>
      <top/>
      <bottom/>
      <diagonal/>
    </border>
    <border>
      <left/>
      <right/>
      <top/>
      <bottom style="thin">
        <color indexed="64"/>
      </bottom>
      <diagonal/>
    </border>
    <border>
      <left/>
      <right/>
      <top style="double">
        <color theme="1" tint="0.24994659260841701"/>
      </top>
      <bottom/>
      <diagonal/>
    </border>
  </borders>
  <cellStyleXfs count="4">
    <xf numFmtId="0" fontId="0" fillId="2" borderId="0">
      <alignment vertical="center"/>
    </xf>
    <xf numFmtId="0" fontId="1" fillId="2" borderId="0" applyNumberFormat="0" applyProtection="0">
      <alignment vertical="center"/>
    </xf>
    <xf numFmtId="9" fontId="4" fillId="0" borderId="0" applyFont="0" applyFill="0" applyBorder="0" applyAlignment="0" applyProtection="0"/>
    <xf numFmtId="164" fontId="4" fillId="0" borderId="0" applyFont="0" applyFill="0" applyBorder="0" applyAlignment="0" applyProtection="0"/>
  </cellStyleXfs>
  <cellXfs count="303">
    <xf numFmtId="0" fontId="0" fillId="2" borderId="0" xfId="0">
      <alignment vertical="center"/>
    </xf>
    <xf numFmtId="0" fontId="21" fillId="2" borderId="0" xfId="0" applyFont="1">
      <alignment vertical="center"/>
    </xf>
    <xf numFmtId="1" fontId="0" fillId="2" borderId="0" xfId="0" applyNumberFormat="1" applyBorder="1" applyProtection="1">
      <alignment vertical="center"/>
      <protection locked="0"/>
    </xf>
    <xf numFmtId="0" fontId="0" fillId="2" borderId="0" xfId="0" applyProtection="1">
      <alignment vertical="center"/>
      <protection locked="0"/>
    </xf>
    <xf numFmtId="0" fontId="0" fillId="2" borderId="0" xfId="0" applyNumberFormat="1" applyProtection="1">
      <alignment vertical="center"/>
      <protection locked="0"/>
    </xf>
    <xf numFmtId="165" fontId="0" fillId="2" borderId="0" xfId="0" applyNumberFormat="1" applyProtection="1">
      <alignment vertical="center"/>
      <protection locked="0"/>
    </xf>
    <xf numFmtId="165" fontId="0" fillId="2" borderId="0" xfId="3" applyNumberFormat="1" applyFont="1" applyFill="1" applyAlignment="1" applyProtection="1">
      <alignment vertical="center"/>
      <protection locked="0"/>
    </xf>
    <xf numFmtId="1" fontId="1" fillId="2" borderId="0" xfId="1" applyNumberFormat="1" applyBorder="1" applyProtection="1">
      <alignment vertical="center"/>
      <protection locked="0"/>
    </xf>
    <xf numFmtId="1" fontId="0" fillId="3" borderId="0" xfId="0" applyNumberFormat="1" applyFill="1" applyBorder="1" applyProtection="1">
      <alignment vertical="center"/>
      <protection locked="0"/>
    </xf>
    <xf numFmtId="0" fontId="0" fillId="3" borderId="0" xfId="0" applyNumberFormat="1" applyFill="1" applyProtection="1">
      <alignment vertical="center"/>
      <protection locked="0"/>
    </xf>
    <xf numFmtId="165" fontId="0" fillId="3" borderId="0" xfId="0" applyNumberFormat="1" applyFill="1" applyProtection="1">
      <alignment vertical="center"/>
      <protection locked="0"/>
    </xf>
    <xf numFmtId="165" fontId="0" fillId="0" borderId="0" xfId="0" applyNumberFormat="1" applyFill="1" applyAlignment="1" applyProtection="1">
      <alignment vertical="center"/>
      <protection locked="0"/>
    </xf>
    <xf numFmtId="14" fontId="0" fillId="2" borderId="0" xfId="0" applyNumberFormat="1" applyFont="1" applyFill="1" applyBorder="1" applyAlignment="1" applyProtection="1">
      <alignment horizontal="left" vertical="center" indent="1"/>
      <protection locked="0"/>
    </xf>
    <xf numFmtId="1" fontId="0" fillId="2" borderId="0" xfId="0" applyNumberFormat="1" applyFont="1" applyFill="1" applyBorder="1" applyAlignment="1" applyProtection="1">
      <alignment horizontal="left" vertical="center" indent="1"/>
      <protection locked="0"/>
    </xf>
    <xf numFmtId="0" fontId="0" fillId="2" borderId="0" xfId="0" applyNumberFormat="1" applyFont="1" applyFill="1" applyBorder="1" applyAlignment="1" applyProtection="1">
      <alignment horizontal="left" vertical="center"/>
      <protection locked="0"/>
    </xf>
    <xf numFmtId="165" fontId="0" fillId="2" borderId="0" xfId="0" applyNumberFormat="1" applyFont="1" applyFill="1" applyBorder="1" applyAlignment="1" applyProtection="1">
      <alignment horizontal="left" vertical="center"/>
      <protection locked="0"/>
    </xf>
    <xf numFmtId="0" fontId="0" fillId="0" borderId="0" xfId="0" applyNumberFormat="1" applyFill="1" applyBorder="1" applyProtection="1">
      <alignment vertical="center"/>
      <protection locked="0"/>
    </xf>
    <xf numFmtId="1" fontId="0" fillId="0" borderId="0" xfId="0" applyNumberFormat="1" applyFill="1" applyBorder="1" applyProtection="1">
      <alignment vertical="center"/>
      <protection locked="0"/>
    </xf>
    <xf numFmtId="0" fontId="0" fillId="0" borderId="0" xfId="0" applyFill="1" applyProtection="1">
      <alignment vertical="center"/>
      <protection locked="0"/>
    </xf>
    <xf numFmtId="0" fontId="0" fillId="0" borderId="0" xfId="0" applyNumberFormat="1" applyFill="1" applyProtection="1">
      <alignment vertical="center"/>
      <protection locked="0"/>
    </xf>
    <xf numFmtId="165" fontId="0" fillId="0" borderId="0" xfId="0" applyNumberFormat="1" applyFill="1" applyProtection="1">
      <alignment vertical="center"/>
      <protection locked="0"/>
    </xf>
    <xf numFmtId="1" fontId="0" fillId="0" borderId="0" xfId="0" applyNumberFormat="1" applyFill="1" applyAlignment="1" applyProtection="1">
      <alignment vertical="center"/>
      <protection locked="0"/>
    </xf>
    <xf numFmtId="0" fontId="0" fillId="0" borderId="0" xfId="0" applyNumberFormat="1" applyFill="1" applyAlignment="1" applyProtection="1">
      <alignment vertical="center"/>
      <protection locked="0"/>
    </xf>
    <xf numFmtId="0" fontId="2" fillId="2" borderId="0" xfId="0" applyFont="1" applyProtection="1">
      <alignment vertical="center"/>
      <protection locked="0"/>
    </xf>
    <xf numFmtId="165" fontId="0" fillId="5" borderId="0" xfId="0" applyNumberFormat="1" applyFill="1" applyAlignment="1" applyProtection="1">
      <alignment horizontal="right" vertical="center"/>
    </xf>
    <xf numFmtId="165" fontId="0" fillId="5" borderId="0" xfId="0" applyNumberFormat="1" applyFont="1" applyFill="1" applyBorder="1" applyAlignment="1" applyProtection="1">
      <alignment horizontal="right" vertical="center" indent="2"/>
    </xf>
    <xf numFmtId="165" fontId="0" fillId="5" borderId="0" xfId="2" applyNumberFormat="1" applyFont="1" applyFill="1" applyAlignment="1" applyProtection="1">
      <alignment vertical="center"/>
      <protection locked="0"/>
    </xf>
    <xf numFmtId="165" fontId="6" fillId="5" borderId="0" xfId="2" applyNumberFormat="1" applyFont="1" applyFill="1" applyBorder="1" applyAlignment="1" applyProtection="1">
      <alignment vertical="center" wrapText="1"/>
    </xf>
    <xf numFmtId="165" fontId="0" fillId="5" borderId="0" xfId="2" applyNumberFormat="1" applyFont="1" applyFill="1" applyAlignment="1" applyProtection="1">
      <alignment vertical="center"/>
    </xf>
    <xf numFmtId="1" fontId="0" fillId="2" borderId="0" xfId="0" applyNumberFormat="1" applyProtection="1">
      <alignment vertical="center"/>
      <protection locked="0"/>
    </xf>
    <xf numFmtId="165" fontId="0" fillId="5" borderId="0" xfId="0" applyNumberFormat="1" applyFill="1" applyProtection="1">
      <alignment vertical="center"/>
      <protection locked="0"/>
    </xf>
    <xf numFmtId="1" fontId="9" fillId="2" borderId="0" xfId="1" applyNumberFormat="1" applyFont="1" applyBorder="1" applyProtection="1">
      <alignment vertical="center"/>
      <protection locked="0"/>
    </xf>
    <xf numFmtId="1" fontId="0" fillId="3" borderId="0" xfId="0" applyNumberFormat="1" applyFill="1" applyProtection="1">
      <alignment vertical="center"/>
      <protection locked="0"/>
    </xf>
    <xf numFmtId="1" fontId="10" fillId="2" borderId="0" xfId="0" applyNumberFormat="1" applyFont="1" applyFill="1" applyBorder="1" applyAlignment="1" applyProtection="1">
      <alignment horizontal="left" vertical="center" wrapText="1" indent="1"/>
      <protection locked="0"/>
    </xf>
    <xf numFmtId="0" fontId="10" fillId="2" borderId="0" xfId="0" applyNumberFormat="1" applyFont="1" applyFill="1" applyBorder="1" applyAlignment="1" applyProtection="1">
      <alignment vertical="center" wrapText="1"/>
      <protection locked="0"/>
    </xf>
    <xf numFmtId="165" fontId="10" fillId="2" borderId="0" xfId="0" applyNumberFormat="1" applyFont="1" applyFill="1" applyBorder="1" applyAlignment="1" applyProtection="1">
      <alignment vertical="center" wrapText="1"/>
      <protection locked="0"/>
    </xf>
    <xf numFmtId="1" fontId="10" fillId="2" borderId="0" xfId="0" applyNumberFormat="1" applyFont="1" applyFill="1" applyBorder="1" applyAlignment="1" applyProtection="1">
      <alignment vertical="center" wrapText="1"/>
      <protection locked="0"/>
    </xf>
    <xf numFmtId="1" fontId="0" fillId="2" borderId="0" xfId="0" applyNumberFormat="1" applyFont="1" applyFill="1" applyBorder="1" applyAlignment="1" applyProtection="1">
      <alignment horizontal="left" vertical="center"/>
      <protection locked="0"/>
    </xf>
    <xf numFmtId="1" fontId="0" fillId="0" borderId="0" xfId="0" applyNumberFormat="1" applyFill="1" applyProtection="1">
      <alignment vertical="center"/>
      <protection locked="0"/>
    </xf>
    <xf numFmtId="165" fontId="0" fillId="5" borderId="0" xfId="0" applyNumberFormat="1" applyFill="1" applyProtection="1">
      <alignment vertical="center"/>
    </xf>
    <xf numFmtId="165" fontId="10" fillId="5" borderId="0" xfId="0" applyNumberFormat="1" applyFont="1" applyFill="1" applyBorder="1" applyAlignment="1" applyProtection="1">
      <alignment vertical="center" wrapText="1"/>
    </xf>
    <xf numFmtId="165" fontId="10" fillId="5" borderId="0" xfId="0" applyNumberFormat="1" applyFont="1" applyFill="1" applyBorder="1" applyAlignment="1" applyProtection="1">
      <alignment horizontal="right" vertical="center" indent="2"/>
    </xf>
    <xf numFmtId="165" fontId="0" fillId="5" borderId="0" xfId="0" applyNumberFormat="1" applyFont="1" applyFill="1" applyBorder="1" applyAlignment="1" applyProtection="1">
      <alignment horizontal="left" vertical="center"/>
    </xf>
    <xf numFmtId="0" fontId="0" fillId="2" borderId="0" xfId="0" applyBorder="1" applyProtection="1">
      <alignment vertical="center"/>
      <protection locked="0"/>
    </xf>
    <xf numFmtId="2" fontId="0" fillId="2" borderId="0" xfId="0" applyNumberFormat="1" applyProtection="1">
      <alignment vertical="center"/>
      <protection locked="0"/>
    </xf>
    <xf numFmtId="10" fontId="0" fillId="2" borderId="0" xfId="0" applyNumberFormat="1" applyProtection="1">
      <alignment vertical="center"/>
      <protection locked="0"/>
    </xf>
    <xf numFmtId="0" fontId="11" fillId="2" borderId="0" xfId="1" applyFont="1" applyBorder="1" applyProtection="1">
      <alignment vertical="center"/>
      <protection locked="0"/>
    </xf>
    <xf numFmtId="0" fontId="1" fillId="2" borderId="0" xfId="1" applyBorder="1" applyProtection="1">
      <alignment vertical="center"/>
      <protection locked="0"/>
    </xf>
    <xf numFmtId="0" fontId="0" fillId="3" borderId="0" xfId="0" applyFill="1" applyBorder="1" applyProtection="1">
      <alignment vertical="center"/>
      <protection locked="0"/>
    </xf>
    <xf numFmtId="2" fontId="0" fillId="3" borderId="0" xfId="0" applyNumberFormat="1" applyFill="1" applyProtection="1">
      <alignment vertical="center"/>
      <protection locked="0"/>
    </xf>
    <xf numFmtId="10" fontId="0" fillId="3" borderId="0" xfId="0" applyNumberFormat="1" applyFill="1" applyProtection="1">
      <alignment vertical="center"/>
      <protection locked="0"/>
    </xf>
    <xf numFmtId="0" fontId="12" fillId="2" borderId="0" xfId="0" applyFont="1" applyFill="1" applyBorder="1" applyAlignment="1" applyProtection="1">
      <alignment horizontal="left" vertical="center" wrapText="1" indent="1"/>
      <protection locked="0"/>
    </xf>
    <xf numFmtId="0" fontId="12" fillId="2" borderId="0" xfId="0" applyNumberFormat="1" applyFont="1" applyFill="1" applyBorder="1" applyAlignment="1" applyProtection="1">
      <alignment vertical="center" wrapText="1"/>
      <protection locked="0"/>
    </xf>
    <xf numFmtId="2" fontId="12" fillId="2" borderId="0" xfId="0" applyNumberFormat="1" applyFont="1" applyFill="1" applyBorder="1" applyAlignment="1" applyProtection="1">
      <alignment vertical="center" wrapText="1"/>
      <protection locked="0"/>
    </xf>
    <xf numFmtId="165" fontId="12" fillId="2" borderId="0" xfId="0" applyNumberFormat="1" applyFont="1" applyFill="1" applyBorder="1" applyAlignment="1" applyProtection="1">
      <alignment vertical="center" wrapText="1"/>
      <protection locked="0"/>
    </xf>
    <xf numFmtId="10" fontId="12" fillId="2" borderId="0" xfId="0" applyNumberFormat="1" applyFont="1" applyFill="1" applyBorder="1" applyAlignment="1" applyProtection="1">
      <alignment vertical="center" wrapText="1"/>
      <protection locked="0"/>
    </xf>
    <xf numFmtId="2" fontId="0" fillId="2" borderId="0" xfId="0" applyNumberFormat="1" applyFont="1" applyFill="1" applyBorder="1" applyAlignment="1" applyProtection="1">
      <alignment horizontal="left" vertical="center"/>
      <protection locked="0"/>
    </xf>
    <xf numFmtId="10" fontId="0" fillId="2" borderId="0" xfId="0" applyNumberFormat="1" applyFont="1" applyFill="1" applyBorder="1" applyAlignment="1" applyProtection="1">
      <alignment horizontal="left" vertical="center"/>
      <protection locked="0"/>
    </xf>
    <xf numFmtId="14" fontId="0" fillId="0" borderId="0" xfId="0" applyNumberFormat="1" applyFill="1" applyBorder="1" applyProtection="1">
      <alignment vertical="center"/>
      <protection locked="0"/>
    </xf>
    <xf numFmtId="2" fontId="0" fillId="0" borderId="0" xfId="0" applyNumberFormat="1" applyFill="1" applyProtection="1">
      <alignment vertical="center"/>
      <protection locked="0"/>
    </xf>
    <xf numFmtId="10" fontId="0" fillId="0" borderId="0" xfId="0" applyNumberFormat="1" applyFill="1" applyProtection="1">
      <alignment vertical="center"/>
      <protection locked="0"/>
    </xf>
    <xf numFmtId="165" fontId="12" fillId="5" borderId="0" xfId="0" applyNumberFormat="1" applyFont="1" applyFill="1" applyBorder="1" applyAlignment="1" applyProtection="1">
      <alignment horizontal="right" vertical="center" indent="2"/>
    </xf>
    <xf numFmtId="165" fontId="6" fillId="5" borderId="0" xfId="0" applyNumberFormat="1" applyFont="1" applyFill="1" applyBorder="1" applyAlignment="1" applyProtection="1">
      <alignment vertical="center" wrapText="1"/>
    </xf>
    <xf numFmtId="165" fontId="17" fillId="5" borderId="0" xfId="2" applyNumberFormat="1" applyFont="1" applyFill="1" applyBorder="1" applyAlignment="1" applyProtection="1">
      <alignment horizontal="right" vertical="center" indent="2"/>
    </xf>
    <xf numFmtId="1" fontId="5" fillId="2" borderId="0" xfId="1" applyNumberFormat="1" applyFont="1" applyBorder="1" applyProtection="1">
      <alignment vertical="center"/>
    </xf>
    <xf numFmtId="0" fontId="0" fillId="2" borderId="0" xfId="0" applyNumberFormat="1" applyProtection="1">
      <alignment vertical="center"/>
    </xf>
    <xf numFmtId="2" fontId="0" fillId="2" borderId="0" xfId="0" applyNumberFormat="1" applyProtection="1">
      <alignment vertical="center"/>
    </xf>
    <xf numFmtId="165" fontId="0" fillId="2" borderId="0" xfId="0" applyNumberFormat="1" applyProtection="1">
      <alignment vertical="center"/>
    </xf>
    <xf numFmtId="1" fontId="13" fillId="2" borderId="0" xfId="1" applyNumberFormat="1" applyFont="1" applyBorder="1" applyProtection="1">
      <alignment vertical="center"/>
    </xf>
    <xf numFmtId="1" fontId="0" fillId="2" borderId="0" xfId="0" applyNumberFormat="1" applyBorder="1" applyProtection="1">
      <alignment vertical="center"/>
    </xf>
    <xf numFmtId="1" fontId="0" fillId="3" borderId="0" xfId="0" applyNumberFormat="1" applyFill="1" applyBorder="1" applyProtection="1">
      <alignment vertical="center"/>
    </xf>
    <xf numFmtId="0" fontId="0" fillId="3" borderId="0" xfId="0" applyNumberFormat="1" applyFill="1" applyProtection="1">
      <alignment vertical="center"/>
    </xf>
    <xf numFmtId="2" fontId="0" fillId="3" borderId="0" xfId="0" applyNumberFormat="1" applyFill="1" applyProtection="1">
      <alignment vertical="center"/>
    </xf>
    <xf numFmtId="165" fontId="0" fillId="3" borderId="0" xfId="0" applyNumberFormat="1" applyFill="1" applyProtection="1">
      <alignment vertical="center"/>
    </xf>
    <xf numFmtId="1" fontId="6" fillId="2" borderId="0" xfId="0" applyNumberFormat="1" applyFont="1" applyFill="1" applyBorder="1" applyAlignment="1" applyProtection="1">
      <alignment horizontal="left" vertical="center" wrapText="1" indent="1"/>
    </xf>
    <xf numFmtId="0" fontId="6" fillId="2" borderId="0" xfId="0" applyNumberFormat="1" applyFont="1" applyFill="1" applyBorder="1" applyAlignment="1" applyProtection="1">
      <alignment vertical="center" wrapText="1"/>
    </xf>
    <xf numFmtId="165" fontId="6" fillId="2" borderId="0" xfId="0" applyNumberFormat="1" applyFont="1" applyFill="1" applyBorder="1" applyAlignment="1" applyProtection="1">
      <alignment vertical="center" wrapText="1"/>
    </xf>
    <xf numFmtId="0" fontId="2" fillId="2" borderId="0" xfId="0" applyFont="1" applyProtection="1">
      <alignment vertical="center"/>
    </xf>
    <xf numFmtId="165" fontId="0" fillId="2" borderId="0" xfId="3" applyNumberFormat="1" applyFont="1" applyFill="1" applyBorder="1" applyAlignment="1" applyProtection="1">
      <alignment horizontal="left" vertical="center"/>
      <protection locked="0"/>
    </xf>
    <xf numFmtId="0" fontId="19" fillId="2" borderId="0" xfId="1" applyFont="1" applyBorder="1" applyProtection="1">
      <alignment vertical="center"/>
    </xf>
    <xf numFmtId="165" fontId="0" fillId="2" borderId="0" xfId="3" applyNumberFormat="1" applyFont="1" applyFill="1" applyAlignment="1" applyProtection="1">
      <alignment vertical="center"/>
    </xf>
    <xf numFmtId="0" fontId="0" fillId="2" borderId="0" xfId="0" applyProtection="1">
      <alignment vertical="center"/>
    </xf>
    <xf numFmtId="0" fontId="0" fillId="2" borderId="0" xfId="0" applyBorder="1" applyProtection="1">
      <alignment vertical="center"/>
    </xf>
    <xf numFmtId="0" fontId="0" fillId="3" borderId="0" xfId="0" applyFill="1" applyBorder="1" applyProtection="1">
      <alignment vertical="center"/>
    </xf>
    <xf numFmtId="165" fontId="0" fillId="3" borderId="0" xfId="3" applyNumberFormat="1" applyFont="1" applyFill="1" applyAlignment="1" applyProtection="1">
      <alignment vertical="center"/>
    </xf>
    <xf numFmtId="0" fontId="18" fillId="2" borderId="0" xfId="0" applyFont="1" applyFill="1" applyBorder="1" applyAlignment="1" applyProtection="1">
      <alignment horizontal="left" vertical="center" wrapText="1" indent="1"/>
    </xf>
    <xf numFmtId="0" fontId="18" fillId="2" borderId="0" xfId="0" applyNumberFormat="1" applyFont="1" applyFill="1" applyBorder="1" applyAlignment="1" applyProtection="1">
      <alignment vertical="center" wrapText="1"/>
    </xf>
    <xf numFmtId="2" fontId="18" fillId="2" borderId="0" xfId="0" applyNumberFormat="1" applyFont="1" applyFill="1" applyBorder="1" applyAlignment="1" applyProtection="1">
      <alignment vertical="center" wrapText="1"/>
    </xf>
    <xf numFmtId="165" fontId="18" fillId="2" borderId="0" xfId="0" applyNumberFormat="1" applyFont="1" applyFill="1" applyBorder="1" applyAlignment="1" applyProtection="1">
      <alignment vertical="center" wrapText="1"/>
    </xf>
    <xf numFmtId="165" fontId="18" fillId="2" borderId="0" xfId="0" applyNumberFormat="1" applyFont="1" applyFill="1" applyBorder="1" applyAlignment="1" applyProtection="1">
      <alignment horizontal="center" vertical="center" wrapText="1"/>
    </xf>
    <xf numFmtId="165" fontId="18" fillId="2" borderId="0" xfId="3" applyNumberFormat="1" applyFont="1" applyFill="1" applyBorder="1" applyAlignment="1" applyProtection="1">
      <alignment horizontal="center" vertical="center" wrapText="1"/>
    </xf>
    <xf numFmtId="165" fontId="18" fillId="2" borderId="0" xfId="0" applyNumberFormat="1" applyFont="1" applyFill="1" applyBorder="1" applyAlignment="1" applyProtection="1">
      <alignment horizontal="right" vertical="center" indent="2"/>
    </xf>
    <xf numFmtId="165" fontId="18" fillId="4" borderId="0" xfId="0" applyNumberFormat="1" applyFont="1" applyFill="1" applyBorder="1" applyAlignment="1" applyProtection="1">
      <alignment horizontal="right" vertical="center" indent="2"/>
    </xf>
    <xf numFmtId="165" fontId="0" fillId="4" borderId="0" xfId="0" applyNumberFormat="1" applyFill="1" applyAlignment="1" applyProtection="1">
      <alignment horizontal="right" vertical="center"/>
    </xf>
    <xf numFmtId="14" fontId="0" fillId="0" borderId="0" xfId="0" applyNumberFormat="1" applyFill="1" applyBorder="1" applyProtection="1">
      <alignment vertical="center"/>
    </xf>
    <xf numFmtId="0" fontId="0" fillId="0" borderId="0" xfId="0" applyNumberFormat="1" applyFill="1" applyProtection="1">
      <alignment vertical="center"/>
    </xf>
    <xf numFmtId="2" fontId="0" fillId="0" borderId="0" xfId="0" applyNumberFormat="1" applyFill="1" applyProtection="1">
      <alignment vertical="center"/>
    </xf>
    <xf numFmtId="165" fontId="0" fillId="0" borderId="0" xfId="0" applyNumberFormat="1" applyFill="1" applyProtection="1">
      <alignment vertical="center"/>
    </xf>
    <xf numFmtId="0" fontId="0" fillId="2" borderId="0" xfId="0" applyFill="1" applyProtection="1">
      <alignment vertical="center"/>
      <protection locked="0"/>
    </xf>
    <xf numFmtId="0" fontId="2" fillId="3" borderId="0" xfId="0" applyFont="1" applyFill="1" applyBorder="1" applyProtection="1">
      <alignment vertical="center"/>
      <protection locked="0"/>
    </xf>
    <xf numFmtId="9" fontId="0" fillId="2" borderId="0" xfId="2" applyFont="1" applyFill="1" applyAlignment="1" applyProtection="1">
      <alignment vertical="center"/>
    </xf>
    <xf numFmtId="9" fontId="0" fillId="3" borderId="0" xfId="2" applyFont="1" applyFill="1" applyAlignment="1" applyProtection="1">
      <alignment vertical="center"/>
    </xf>
    <xf numFmtId="9" fontId="18" fillId="2" borderId="0" xfId="2" applyFont="1" applyFill="1" applyBorder="1" applyAlignment="1" applyProtection="1">
      <alignment vertical="center" wrapText="1"/>
    </xf>
    <xf numFmtId="9" fontId="0" fillId="2" borderId="0" xfId="2" applyFont="1" applyFill="1" applyBorder="1" applyAlignment="1" applyProtection="1">
      <alignment horizontal="left" vertical="center"/>
      <protection locked="0"/>
    </xf>
    <xf numFmtId="9" fontId="0" fillId="2" borderId="0" xfId="2" applyFont="1" applyFill="1" applyAlignment="1" applyProtection="1">
      <alignment vertical="center"/>
      <protection locked="0"/>
    </xf>
    <xf numFmtId="14" fontId="0" fillId="2" borderId="0" xfId="0" applyNumberFormat="1" applyBorder="1" applyProtection="1">
      <alignment vertical="center"/>
      <protection locked="0"/>
    </xf>
    <xf numFmtId="14" fontId="5" fillId="2" borderId="0" xfId="1" applyNumberFormat="1" applyFont="1" applyBorder="1" applyProtection="1">
      <alignment vertical="center"/>
    </xf>
    <xf numFmtId="14" fontId="13" fillId="2" borderId="0" xfId="1" applyNumberFormat="1" applyFont="1" applyBorder="1" applyProtection="1">
      <alignment vertical="center"/>
    </xf>
    <xf numFmtId="14" fontId="0" fillId="2" borderId="0" xfId="0" applyNumberFormat="1" applyBorder="1" applyProtection="1">
      <alignment vertical="center"/>
    </xf>
    <xf numFmtId="14" fontId="0" fillId="3" borderId="0" xfId="0" applyNumberFormat="1" applyFill="1" applyBorder="1" applyProtection="1">
      <alignment vertical="center"/>
    </xf>
    <xf numFmtId="14" fontId="6" fillId="2" borderId="0" xfId="0" applyNumberFormat="1" applyFont="1" applyFill="1" applyBorder="1" applyAlignment="1" applyProtection="1">
      <alignment horizontal="left" vertical="center" wrapText="1" indent="1"/>
    </xf>
    <xf numFmtId="14" fontId="0" fillId="2" borderId="0" xfId="0" applyNumberFormat="1" applyProtection="1">
      <alignment vertical="center"/>
      <protection locked="0"/>
    </xf>
    <xf numFmtId="14" fontId="0" fillId="2" borderId="0" xfId="0" applyNumberFormat="1" applyProtection="1">
      <alignment vertical="center"/>
    </xf>
    <xf numFmtId="14" fontId="0" fillId="3" borderId="0" xfId="0" applyNumberFormat="1" applyFill="1" applyProtection="1">
      <alignment vertical="center"/>
    </xf>
    <xf numFmtId="14" fontId="6" fillId="2" borderId="0" xfId="0" applyNumberFormat="1" applyFont="1" applyFill="1" applyBorder="1" applyAlignment="1" applyProtection="1">
      <alignment vertical="center" wrapText="1"/>
    </xf>
    <xf numFmtId="14" fontId="0" fillId="2" borderId="0" xfId="0" applyNumberFormat="1" applyFont="1" applyFill="1" applyBorder="1" applyAlignment="1" applyProtection="1">
      <alignment horizontal="left" vertical="center"/>
      <protection locked="0"/>
    </xf>
    <xf numFmtId="14" fontId="0" fillId="0" borderId="0" xfId="0" applyNumberFormat="1" applyFill="1" applyProtection="1">
      <alignment vertical="center"/>
      <protection locked="0"/>
    </xf>
    <xf numFmtId="165" fontId="4" fillId="5" borderId="0" xfId="0" applyNumberFormat="1" applyFont="1" applyFill="1" applyAlignment="1" applyProtection="1">
      <alignment horizontal="right" vertical="center"/>
    </xf>
    <xf numFmtId="0" fontId="2"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2" fillId="2" borderId="0" xfId="0" applyFont="1" applyFill="1" applyBorder="1" applyProtection="1">
      <alignment vertical="center"/>
      <protection locked="0"/>
    </xf>
    <xf numFmtId="0" fontId="2" fillId="2" borderId="0" xfId="0" applyFont="1" applyFill="1" applyProtection="1">
      <alignment vertical="center"/>
      <protection locked="0"/>
    </xf>
    <xf numFmtId="0" fontId="2" fillId="2" borderId="0" xfId="0" applyFont="1" applyFill="1" applyAlignment="1" applyProtection="1">
      <alignment vertical="center"/>
      <protection locked="0"/>
    </xf>
    <xf numFmtId="14" fontId="0" fillId="5" borderId="0" xfId="0" applyNumberFormat="1" applyFill="1" applyAlignment="1" applyProtection="1">
      <alignment horizontal="right" vertical="center"/>
      <protection locked="0"/>
    </xf>
    <xf numFmtId="14" fontId="0" fillId="5" borderId="0" xfId="0" applyNumberFormat="1" applyFill="1" applyAlignment="1" applyProtection="1">
      <alignment horizontal="right" vertical="center"/>
    </xf>
    <xf numFmtId="14" fontId="6" fillId="5" borderId="0" xfId="0" applyNumberFormat="1" applyFont="1" applyFill="1" applyBorder="1" applyAlignment="1" applyProtection="1">
      <alignment horizontal="left" vertical="center" wrapText="1"/>
    </xf>
    <xf numFmtId="0" fontId="23" fillId="5" borderId="0" xfId="0" applyFont="1" applyFill="1" applyAlignment="1">
      <alignment horizontal="right" vertical="center"/>
    </xf>
    <xf numFmtId="0" fontId="0" fillId="5" borderId="0" xfId="0" applyNumberFormat="1" applyFont="1" applyFill="1" applyBorder="1" applyAlignment="1" applyProtection="1">
      <alignment horizontal="right" vertical="center"/>
      <protection locked="0"/>
    </xf>
    <xf numFmtId="1" fontId="4" fillId="2" borderId="0" xfId="0" applyNumberFormat="1" applyFont="1" applyFill="1" applyBorder="1" applyAlignment="1" applyProtection="1">
      <alignment horizontal="left" vertical="center" indent="1"/>
      <protection locked="0"/>
    </xf>
    <xf numFmtId="1" fontId="30" fillId="2" borderId="0" xfId="0" applyNumberFormat="1" applyFont="1" applyFill="1" applyBorder="1" applyAlignment="1" applyProtection="1">
      <alignment horizontal="left" vertical="center" indent="1"/>
      <protection locked="0"/>
    </xf>
    <xf numFmtId="0" fontId="2" fillId="0" borderId="0" xfId="0" applyFont="1" applyFill="1" applyProtection="1">
      <alignment vertical="center"/>
      <protection locked="0"/>
    </xf>
    <xf numFmtId="0" fontId="0" fillId="6" borderId="0" xfId="0" applyFill="1" applyProtection="1">
      <alignment vertical="center"/>
      <protection locked="0"/>
    </xf>
    <xf numFmtId="0" fontId="0" fillId="6" borderId="0" xfId="0" applyNumberFormat="1" applyFill="1" applyBorder="1" applyProtection="1">
      <alignment vertical="center"/>
      <protection locked="0"/>
    </xf>
    <xf numFmtId="1" fontId="0" fillId="6" borderId="0" xfId="0" applyNumberFormat="1" applyFill="1" applyBorder="1" applyProtection="1">
      <alignment vertical="center"/>
      <protection locked="0"/>
    </xf>
    <xf numFmtId="0" fontId="0" fillId="6" borderId="0" xfId="0" applyNumberFormat="1" applyFill="1" applyProtection="1">
      <alignment vertical="center"/>
      <protection locked="0"/>
    </xf>
    <xf numFmtId="165" fontId="0" fillId="6" borderId="0" xfId="0" applyNumberFormat="1" applyFill="1" applyProtection="1">
      <alignment vertical="center"/>
      <protection locked="0"/>
    </xf>
    <xf numFmtId="1" fontId="0" fillId="6" borderId="0" xfId="0" applyNumberFormat="1" applyFill="1" applyAlignment="1" applyProtection="1">
      <alignment vertical="center"/>
      <protection locked="0"/>
    </xf>
    <xf numFmtId="165" fontId="0" fillId="6" borderId="0" xfId="0" applyNumberFormat="1" applyFill="1" applyAlignment="1" applyProtection="1">
      <alignment vertical="center"/>
      <protection locked="0"/>
    </xf>
    <xf numFmtId="0" fontId="0" fillId="6" borderId="0" xfId="0" applyNumberFormat="1" applyFill="1" applyAlignment="1" applyProtection="1">
      <alignment vertical="center"/>
      <protection locked="0"/>
    </xf>
    <xf numFmtId="0" fontId="1" fillId="6" borderId="0" xfId="1" applyNumberFormat="1" applyFill="1" applyBorder="1" applyProtection="1">
      <alignment vertical="center"/>
      <protection locked="0"/>
    </xf>
    <xf numFmtId="1" fontId="1" fillId="6" borderId="0" xfId="1" applyNumberFormat="1" applyFill="1" applyBorder="1" applyProtection="1">
      <alignment vertical="center"/>
      <protection locked="0"/>
    </xf>
    <xf numFmtId="0" fontId="29" fillId="6" borderId="0" xfId="0" applyNumberFormat="1" applyFont="1" applyFill="1" applyProtection="1">
      <alignment vertical="center"/>
      <protection locked="0"/>
    </xf>
    <xf numFmtId="0" fontId="3" fillId="6" borderId="0" xfId="0" applyNumberFormat="1" applyFont="1" applyFill="1" applyBorder="1" applyProtection="1">
      <alignment vertical="center"/>
      <protection locked="0"/>
    </xf>
    <xf numFmtId="0" fontId="2" fillId="6" borderId="0" xfId="0" applyNumberFormat="1" applyFont="1" applyFill="1" applyProtection="1">
      <alignment vertical="center"/>
      <protection locked="0"/>
    </xf>
    <xf numFmtId="0" fontId="3" fillId="6" borderId="0" xfId="0" applyFont="1" applyFill="1" applyProtection="1">
      <alignment vertical="center"/>
      <protection locked="0"/>
    </xf>
    <xf numFmtId="0" fontId="0" fillId="6" borderId="0" xfId="0" applyNumberFormat="1" applyFont="1" applyFill="1" applyBorder="1" applyAlignment="1" applyProtection="1">
      <alignment horizontal="left" vertical="center" wrapText="1" indent="1"/>
      <protection locked="0"/>
    </xf>
    <xf numFmtId="1" fontId="0" fillId="6" borderId="0" xfId="0" applyNumberFormat="1" applyFont="1" applyFill="1" applyBorder="1" applyAlignment="1" applyProtection="1">
      <alignment horizontal="left" vertical="center" wrapText="1" indent="1"/>
      <protection locked="0"/>
    </xf>
    <xf numFmtId="0" fontId="0" fillId="6" borderId="0" xfId="0" applyFont="1" applyFill="1" applyBorder="1" applyAlignment="1" applyProtection="1">
      <alignment vertical="center" wrapText="1"/>
      <protection locked="0"/>
    </xf>
    <xf numFmtId="0" fontId="0" fillId="6" borderId="0" xfId="0" applyNumberFormat="1" applyFont="1" applyFill="1" applyBorder="1" applyAlignment="1" applyProtection="1">
      <alignment vertical="center" wrapText="1"/>
      <protection locked="0"/>
    </xf>
    <xf numFmtId="165" fontId="0" fillId="6" borderId="0" xfId="0" applyNumberFormat="1" applyFont="1" applyFill="1" applyBorder="1" applyAlignment="1" applyProtection="1">
      <alignment vertical="center" wrapText="1"/>
      <protection locked="0"/>
    </xf>
    <xf numFmtId="1" fontId="0" fillId="6" borderId="0" xfId="0" applyNumberFormat="1" applyFont="1" applyFill="1" applyBorder="1" applyAlignment="1" applyProtection="1">
      <alignment horizontal="right" vertical="center" indent="2"/>
      <protection locked="0"/>
    </xf>
    <xf numFmtId="165" fontId="0" fillId="6" borderId="0" xfId="0" applyNumberFormat="1" applyFont="1" applyFill="1" applyBorder="1" applyAlignment="1" applyProtection="1">
      <alignment horizontal="right" vertical="center" indent="2"/>
      <protection locked="0"/>
    </xf>
    <xf numFmtId="0" fontId="0" fillId="6" borderId="0" xfId="0" applyNumberFormat="1" applyFont="1" applyFill="1" applyBorder="1" applyAlignment="1" applyProtection="1">
      <alignment horizontal="right" vertical="center" indent="2"/>
      <protection locked="0"/>
    </xf>
    <xf numFmtId="167" fontId="0" fillId="6" borderId="0" xfId="0" applyNumberFormat="1" applyFont="1" applyFill="1" applyBorder="1" applyAlignment="1" applyProtection="1">
      <alignment horizontal="left" vertical="center" indent="1"/>
      <protection locked="0"/>
    </xf>
    <xf numFmtId="1" fontId="0" fillId="6" borderId="0" xfId="0" applyNumberFormat="1" applyFont="1" applyFill="1" applyBorder="1" applyAlignment="1" applyProtection="1">
      <alignment horizontal="left" vertical="center" indent="1"/>
      <protection locked="0"/>
    </xf>
    <xf numFmtId="0" fontId="0" fillId="6" borderId="0" xfId="0" applyFont="1" applyFill="1" applyBorder="1" applyAlignment="1" applyProtection="1">
      <alignment horizontal="left" vertical="center"/>
      <protection locked="0"/>
    </xf>
    <xf numFmtId="0" fontId="0" fillId="6" borderId="0" xfId="0" applyNumberFormat="1" applyFont="1" applyFill="1" applyBorder="1" applyAlignment="1" applyProtection="1">
      <alignment horizontal="left" vertical="center"/>
      <protection locked="0"/>
    </xf>
    <xf numFmtId="165" fontId="0" fillId="6" borderId="0" xfId="0" applyNumberFormat="1" applyFont="1" applyFill="1" applyBorder="1" applyAlignment="1" applyProtection="1">
      <alignment horizontal="left" vertical="center"/>
      <protection locked="0"/>
    </xf>
    <xf numFmtId="0" fontId="0" fillId="6" borderId="0" xfId="0" applyNumberFormat="1" applyFont="1" applyFill="1" applyBorder="1" applyAlignment="1" applyProtection="1">
      <alignment vertical="center"/>
      <protection locked="0"/>
    </xf>
    <xf numFmtId="1" fontId="0" fillId="6" borderId="2" xfId="0" applyNumberFormat="1" applyFont="1" applyFill="1" applyBorder="1" applyProtection="1">
      <alignment vertical="center"/>
      <protection locked="0"/>
    </xf>
    <xf numFmtId="1" fontId="0" fillId="6" borderId="0" xfId="0" applyNumberFormat="1" applyFont="1" applyFill="1" applyBorder="1" applyProtection="1">
      <alignment vertical="center"/>
      <protection locked="0"/>
    </xf>
    <xf numFmtId="165" fontId="0" fillId="7" borderId="0" xfId="0" applyNumberFormat="1" applyFill="1" applyAlignment="1" applyProtection="1">
      <alignment vertical="center"/>
    </xf>
    <xf numFmtId="165" fontId="0" fillId="7" borderId="0" xfId="3" applyNumberFormat="1" applyFont="1" applyFill="1" applyAlignment="1" applyProtection="1">
      <alignment vertical="center"/>
    </xf>
    <xf numFmtId="165" fontId="0" fillId="7" borderId="0" xfId="0" applyNumberFormat="1" applyFont="1" applyFill="1" applyBorder="1" applyAlignment="1" applyProtection="1">
      <alignment horizontal="right" vertical="center" indent="2"/>
    </xf>
    <xf numFmtId="165" fontId="2" fillId="7" borderId="0" xfId="0" applyNumberFormat="1" applyFont="1" applyFill="1" applyAlignment="1" applyProtection="1">
      <alignment vertical="center"/>
    </xf>
    <xf numFmtId="165" fontId="2" fillId="7" borderId="0" xfId="0" applyNumberFormat="1" applyFont="1" applyFill="1" applyAlignment="1" applyProtection="1">
      <alignment horizontal="right" vertical="center"/>
    </xf>
    <xf numFmtId="165" fontId="0" fillId="7" borderId="0" xfId="0" applyNumberFormat="1" applyFill="1" applyAlignment="1" applyProtection="1">
      <alignment horizontal="right" vertical="center"/>
    </xf>
    <xf numFmtId="165" fontId="0" fillId="0" borderId="0" xfId="0" applyNumberFormat="1" applyFill="1" applyAlignment="1" applyProtection="1">
      <alignment vertical="center"/>
    </xf>
    <xf numFmtId="165" fontId="0" fillId="0" borderId="0" xfId="3" applyNumberFormat="1" applyFont="1" applyFill="1" applyAlignment="1" applyProtection="1">
      <alignment vertical="center"/>
    </xf>
    <xf numFmtId="165" fontId="15" fillId="0" borderId="0" xfId="2" applyNumberFormat="1" applyFont="1" applyFill="1" applyBorder="1" applyAlignment="1" applyProtection="1">
      <alignment horizontal="center" vertical="center"/>
    </xf>
    <xf numFmtId="9" fontId="0" fillId="0" borderId="0" xfId="2" applyFont="1" applyFill="1" applyBorder="1" applyAlignment="1" applyProtection="1">
      <alignment vertical="center"/>
      <protection locked="0"/>
    </xf>
    <xf numFmtId="1" fontId="0" fillId="0" borderId="0" xfId="2" applyNumberFormat="1" applyFont="1" applyFill="1" applyBorder="1" applyAlignment="1" applyProtection="1">
      <alignment vertical="center"/>
      <protection locked="0"/>
    </xf>
    <xf numFmtId="165" fontId="0" fillId="0" borderId="0" xfId="2" applyNumberFormat="1" applyFont="1" applyFill="1" applyAlignment="1" applyProtection="1">
      <alignment vertical="center"/>
      <protection locked="0"/>
    </xf>
    <xf numFmtId="9" fontId="5" fillId="0" borderId="0" xfId="2" applyFont="1" applyFill="1" applyBorder="1" applyAlignment="1" applyProtection="1">
      <alignment vertical="center"/>
      <protection locked="0"/>
    </xf>
    <xf numFmtId="1" fontId="5" fillId="0" borderId="0" xfId="2" applyNumberFormat="1" applyFont="1" applyFill="1" applyBorder="1" applyAlignment="1" applyProtection="1">
      <alignment vertical="center"/>
      <protection locked="0"/>
    </xf>
    <xf numFmtId="9" fontId="0" fillId="0" borderId="0" xfId="2" applyFont="1" applyFill="1" applyAlignment="1" applyProtection="1">
      <alignment vertical="center"/>
      <protection locked="0"/>
    </xf>
    <xf numFmtId="1" fontId="0" fillId="0" borderId="0" xfId="2" applyNumberFormat="1" applyFont="1" applyFill="1" applyAlignment="1" applyProtection="1">
      <alignment vertical="center"/>
      <protection locked="0"/>
    </xf>
    <xf numFmtId="0" fontId="28" fillId="0" borderId="0" xfId="0" applyFont="1" applyFill="1" applyAlignment="1" applyProtection="1">
      <alignment horizontal="center" vertical="center"/>
      <protection locked="0"/>
    </xf>
    <xf numFmtId="165" fontId="28" fillId="0" borderId="0" xfId="0" applyNumberFormat="1" applyFont="1" applyFill="1" applyAlignment="1" applyProtection="1">
      <alignment horizontal="center" vertical="center"/>
      <protection locked="0"/>
    </xf>
    <xf numFmtId="9" fontId="1" fillId="6" borderId="0" xfId="2" applyFont="1" applyFill="1" applyBorder="1" applyAlignment="1" applyProtection="1">
      <alignment vertical="center"/>
      <protection locked="0"/>
    </xf>
    <xf numFmtId="1" fontId="1" fillId="6" borderId="0" xfId="2" applyNumberFormat="1" applyFont="1" applyFill="1" applyBorder="1" applyAlignment="1" applyProtection="1">
      <alignment vertical="center"/>
      <protection locked="0"/>
    </xf>
    <xf numFmtId="165" fontId="0" fillId="6" borderId="0" xfId="2" applyNumberFormat="1" applyFont="1" applyFill="1" applyAlignment="1" applyProtection="1">
      <alignment vertical="center"/>
      <protection locked="0"/>
    </xf>
    <xf numFmtId="9" fontId="0" fillId="6" borderId="0" xfId="2" applyFont="1" applyFill="1" applyBorder="1" applyAlignment="1" applyProtection="1">
      <alignment vertical="center"/>
      <protection locked="0"/>
    </xf>
    <xf numFmtId="1" fontId="0" fillId="6" borderId="0" xfId="2" applyNumberFormat="1" applyFont="1" applyFill="1" applyBorder="1" applyAlignment="1" applyProtection="1">
      <alignment vertical="center"/>
      <protection locked="0"/>
    </xf>
    <xf numFmtId="1" fontId="0" fillId="6" borderId="0" xfId="2" applyNumberFormat="1" applyFont="1" applyFill="1" applyBorder="1" applyAlignment="1" applyProtection="1">
      <alignment vertical="center"/>
    </xf>
    <xf numFmtId="14" fontId="0" fillId="6" borderId="0" xfId="2" applyNumberFormat="1" applyFont="1" applyFill="1" applyBorder="1" applyAlignment="1" applyProtection="1">
      <alignment horizontal="left" vertical="center" indent="1"/>
    </xf>
    <xf numFmtId="1" fontId="0" fillId="6" borderId="0" xfId="2" applyNumberFormat="1" applyFont="1" applyFill="1" applyBorder="1" applyAlignment="1" applyProtection="1">
      <alignment horizontal="left" vertical="center" indent="1"/>
    </xf>
    <xf numFmtId="165" fontId="25" fillId="6" borderId="0" xfId="0" applyNumberFormat="1" applyFont="1" applyFill="1" applyAlignment="1" applyProtection="1">
      <alignment vertical="center"/>
    </xf>
    <xf numFmtId="165" fontId="0" fillId="6" borderId="0" xfId="0" applyNumberFormat="1" applyFont="1" applyFill="1" applyAlignment="1" applyProtection="1">
      <alignment vertical="center"/>
    </xf>
    <xf numFmtId="165" fontId="4" fillId="6" borderId="0" xfId="0" applyNumberFormat="1" applyFont="1" applyFill="1" applyAlignment="1" applyProtection="1">
      <alignment vertical="center"/>
    </xf>
    <xf numFmtId="9" fontId="0" fillId="6" borderId="0" xfId="2" applyFont="1" applyFill="1" applyAlignment="1" applyProtection="1">
      <alignment vertical="center"/>
      <protection locked="0"/>
    </xf>
    <xf numFmtId="1" fontId="0" fillId="6" borderId="0" xfId="2" applyNumberFormat="1" applyFont="1" applyFill="1" applyAlignment="1" applyProtection="1">
      <alignment vertical="center"/>
      <protection locked="0"/>
    </xf>
    <xf numFmtId="0" fontId="0" fillId="0" borderId="0" xfId="0" applyFill="1" applyProtection="1">
      <alignment vertical="center"/>
    </xf>
    <xf numFmtId="14" fontId="0" fillId="0" borderId="0" xfId="2" applyNumberFormat="1" applyFont="1" applyFill="1" applyBorder="1" applyAlignment="1" applyProtection="1">
      <alignment vertical="center"/>
    </xf>
    <xf numFmtId="1" fontId="0" fillId="0" borderId="0" xfId="2" applyNumberFormat="1" applyFont="1" applyFill="1" applyBorder="1" applyAlignment="1" applyProtection="1">
      <alignment vertical="center"/>
    </xf>
    <xf numFmtId="165" fontId="0" fillId="0" borderId="0" xfId="2" applyNumberFormat="1" applyFont="1" applyFill="1" applyAlignment="1" applyProtection="1">
      <alignment vertical="center"/>
    </xf>
    <xf numFmtId="165" fontId="15" fillId="0" borderId="0" xfId="0" applyNumberFormat="1" applyFont="1" applyFill="1" applyBorder="1" applyAlignment="1" applyProtection="1">
      <alignment vertical="center"/>
    </xf>
    <xf numFmtId="0" fontId="15" fillId="0" borderId="0" xfId="0" applyFont="1" applyFill="1" applyProtection="1">
      <alignment vertical="center"/>
    </xf>
    <xf numFmtId="165" fontId="15" fillId="0" borderId="0" xfId="2" applyNumberFormat="1" applyFont="1" applyFill="1" applyBorder="1" applyAlignment="1" applyProtection="1">
      <alignment vertical="center"/>
    </xf>
    <xf numFmtId="14" fontId="15" fillId="0" borderId="0" xfId="2" applyNumberFormat="1" applyFont="1" applyFill="1" applyBorder="1" applyAlignment="1" applyProtection="1">
      <alignment vertical="center"/>
    </xf>
    <xf numFmtId="1" fontId="15" fillId="0" borderId="0" xfId="2" applyNumberFormat="1" applyFont="1" applyFill="1" applyBorder="1" applyAlignment="1" applyProtection="1">
      <alignment vertical="center"/>
    </xf>
    <xf numFmtId="165" fontId="15" fillId="0" borderId="0" xfId="2" applyNumberFormat="1" applyFont="1" applyFill="1" applyAlignment="1" applyProtection="1">
      <alignment vertical="center"/>
    </xf>
    <xf numFmtId="0" fontId="16" fillId="0" borderId="0" xfId="0" applyFont="1" applyFill="1" applyBorder="1" applyAlignment="1" applyProtection="1">
      <alignment horizontal="center" vertical="center"/>
    </xf>
    <xf numFmtId="0" fontId="2" fillId="0" borderId="0" xfId="0" applyFont="1" applyFill="1" applyProtection="1">
      <alignment vertical="center"/>
    </xf>
    <xf numFmtId="0" fontId="15" fillId="0" borderId="0" xfId="0" applyNumberFormat="1" applyFont="1" applyFill="1" applyBorder="1" applyProtection="1">
      <alignment vertical="center"/>
    </xf>
    <xf numFmtId="1" fontId="15" fillId="0" borderId="0" xfId="0" applyNumberFormat="1" applyFont="1" applyFill="1" applyAlignment="1" applyProtection="1">
      <alignment vertical="center"/>
    </xf>
    <xf numFmtId="0" fontId="0" fillId="0" borderId="0" xfId="2" applyNumberFormat="1" applyFont="1" applyFill="1" applyAlignment="1" applyProtection="1">
      <alignment vertical="center"/>
      <protection locked="0"/>
    </xf>
    <xf numFmtId="165" fontId="2" fillId="0" borderId="0" xfId="2" applyNumberFormat="1" applyFont="1" applyFill="1" applyAlignment="1" applyProtection="1">
      <alignment vertical="center"/>
      <protection locked="0"/>
    </xf>
    <xf numFmtId="0" fontId="2" fillId="0" borderId="0" xfId="2" applyNumberFormat="1" applyFont="1" applyFill="1" applyAlignment="1" applyProtection="1">
      <alignment vertical="center"/>
      <protection locked="0"/>
    </xf>
    <xf numFmtId="0" fontId="2" fillId="0" borderId="0" xfId="2" applyNumberFormat="1" applyFont="1" applyFill="1" applyBorder="1" applyAlignment="1" applyProtection="1">
      <alignment horizontal="center" vertical="center"/>
      <protection locked="0"/>
    </xf>
    <xf numFmtId="0" fontId="2" fillId="0" borderId="0" xfId="0" applyNumberFormat="1" applyFont="1" applyFill="1" applyProtection="1">
      <alignment vertical="center"/>
      <protection locked="0"/>
    </xf>
    <xf numFmtId="0" fontId="15" fillId="0" borderId="0" xfId="0" applyFont="1" applyFill="1" applyAlignment="1" applyProtection="1">
      <alignment vertical="center"/>
    </xf>
    <xf numFmtId="165" fontId="15" fillId="0" borderId="0" xfId="0" applyNumberFormat="1" applyFont="1" applyFill="1" applyAlignment="1" applyProtection="1">
      <alignment vertical="center"/>
    </xf>
    <xf numFmtId="165" fontId="16" fillId="0" borderId="0" xfId="0" applyNumberFormat="1" applyFont="1" applyFill="1" applyBorder="1" applyAlignment="1" applyProtection="1">
      <alignment horizontal="center" vertical="center"/>
    </xf>
    <xf numFmtId="165" fontId="24" fillId="0" borderId="0" xfId="0" applyNumberFormat="1" applyFont="1" applyFill="1" applyBorder="1" applyAlignment="1" applyProtection="1">
      <alignment vertical="center"/>
    </xf>
    <xf numFmtId="0" fontId="0" fillId="6" borderId="0" xfId="0" applyFill="1" applyProtection="1">
      <alignment vertical="center"/>
    </xf>
    <xf numFmtId="14" fontId="0" fillId="6" borderId="0" xfId="2" applyNumberFormat="1" applyFont="1" applyFill="1" applyBorder="1" applyAlignment="1" applyProtection="1">
      <alignment vertical="center"/>
    </xf>
    <xf numFmtId="14" fontId="14" fillId="6" borderId="0" xfId="2" applyNumberFormat="1" applyFont="1" applyFill="1" applyBorder="1" applyAlignment="1" applyProtection="1">
      <alignment vertical="center"/>
    </xf>
    <xf numFmtId="1" fontId="14" fillId="6" borderId="0" xfId="2" applyNumberFormat="1" applyFont="1" applyFill="1" applyBorder="1" applyAlignment="1" applyProtection="1">
      <alignment vertical="center"/>
    </xf>
    <xf numFmtId="14" fontId="1" fillId="6" borderId="0" xfId="2" applyNumberFormat="1" applyFont="1" applyFill="1" applyBorder="1" applyAlignment="1" applyProtection="1">
      <alignment vertical="center"/>
    </xf>
    <xf numFmtId="1" fontId="1" fillId="6" borderId="0" xfId="2" applyNumberFormat="1" applyFont="1" applyFill="1" applyBorder="1" applyAlignment="1" applyProtection="1">
      <alignment vertical="center"/>
    </xf>
    <xf numFmtId="165" fontId="15" fillId="6" borderId="0" xfId="0" applyNumberFormat="1" applyFont="1" applyFill="1" applyBorder="1" applyAlignment="1" applyProtection="1">
      <alignment vertical="center"/>
    </xf>
    <xf numFmtId="0" fontId="15" fillId="6" borderId="0" xfId="0" applyFont="1" applyFill="1" applyProtection="1">
      <alignment vertical="center"/>
    </xf>
    <xf numFmtId="14" fontId="15" fillId="6" borderId="0" xfId="2" applyNumberFormat="1" applyFont="1" applyFill="1" applyBorder="1" applyAlignment="1" applyProtection="1">
      <alignment horizontal="left" vertical="center" wrapText="1" indent="1"/>
    </xf>
    <xf numFmtId="1" fontId="15" fillId="6" borderId="0" xfId="2" applyNumberFormat="1" applyFont="1" applyFill="1" applyBorder="1" applyAlignment="1" applyProtection="1">
      <alignment horizontal="left" vertical="center" wrapText="1" indent="1"/>
    </xf>
    <xf numFmtId="165" fontId="15" fillId="6" borderId="0" xfId="2" applyNumberFormat="1" applyFont="1" applyFill="1" applyBorder="1" applyAlignment="1" applyProtection="1">
      <alignment horizontal="right" vertical="center" indent="2"/>
    </xf>
    <xf numFmtId="14" fontId="25" fillId="6" borderId="0" xfId="0" applyNumberFormat="1" applyFont="1" applyFill="1" applyBorder="1" applyAlignment="1" applyProtection="1">
      <alignment vertical="center"/>
    </xf>
    <xf numFmtId="1" fontId="25" fillId="6" borderId="0" xfId="0" applyNumberFormat="1" applyFont="1" applyFill="1" applyAlignment="1" applyProtection="1">
      <alignment vertical="center"/>
    </xf>
    <xf numFmtId="0" fontId="16" fillId="6" borderId="0" xfId="0" applyFont="1" applyFill="1" applyBorder="1" applyAlignment="1" applyProtection="1">
      <alignment horizontal="center" vertical="center"/>
    </xf>
    <xf numFmtId="14" fontId="0" fillId="6" borderId="0" xfId="0" applyNumberFormat="1" applyFill="1" applyProtection="1">
      <alignment vertical="center"/>
      <protection locked="0"/>
    </xf>
    <xf numFmtId="1" fontId="0" fillId="6" borderId="0" xfId="0" applyNumberFormat="1" applyFill="1" applyProtection="1">
      <alignment vertical="center"/>
      <protection locked="0"/>
    </xf>
    <xf numFmtId="0" fontId="15" fillId="6" borderId="0" xfId="0" applyNumberFormat="1" applyFont="1" applyFill="1" applyBorder="1" applyProtection="1">
      <alignment vertical="center"/>
    </xf>
    <xf numFmtId="0" fontId="15" fillId="6" borderId="0" xfId="0" applyNumberFormat="1" applyFont="1" applyFill="1" applyBorder="1" applyAlignment="1" applyProtection="1">
      <alignment horizontal="left" vertical="center" wrapText="1" indent="1"/>
    </xf>
    <xf numFmtId="165" fontId="15" fillId="6" borderId="0" xfId="0" applyNumberFormat="1" applyFont="1" applyFill="1" applyBorder="1" applyAlignment="1" applyProtection="1">
      <alignment horizontal="right" vertical="center" indent="2"/>
    </xf>
    <xf numFmtId="1" fontId="2" fillId="6" borderId="0" xfId="0" applyNumberFormat="1" applyFont="1" applyFill="1" applyBorder="1" applyAlignment="1" applyProtection="1">
      <alignment horizontal="left" vertical="center" indent="1"/>
    </xf>
    <xf numFmtId="165" fontId="20" fillId="6" borderId="0" xfId="0" applyNumberFormat="1" applyFont="1" applyFill="1" applyBorder="1" applyAlignment="1" applyProtection="1">
      <alignment horizontal="right" vertical="center" indent="2"/>
    </xf>
    <xf numFmtId="0" fontId="2" fillId="6" borderId="0" xfId="0" applyNumberFormat="1" applyFont="1" applyFill="1" applyBorder="1" applyAlignment="1" applyProtection="1">
      <alignment horizontal="left" vertical="center" indent="1"/>
    </xf>
    <xf numFmtId="0" fontId="15" fillId="6" borderId="0" xfId="0" applyFont="1" applyFill="1" applyAlignment="1" applyProtection="1">
      <alignment vertical="center"/>
    </xf>
    <xf numFmtId="0" fontId="0" fillId="6" borderId="0" xfId="0" applyNumberFormat="1" applyFill="1" applyBorder="1" applyProtection="1">
      <alignment vertical="center"/>
    </xf>
    <xf numFmtId="165" fontId="0" fillId="6" borderId="0" xfId="0" applyNumberFormat="1" applyFill="1" applyAlignment="1" applyProtection="1">
      <alignment vertical="center"/>
    </xf>
    <xf numFmtId="14" fontId="0" fillId="6" borderId="0" xfId="0" applyNumberFormat="1" applyFont="1" applyFill="1" applyBorder="1" applyAlignment="1" applyProtection="1">
      <alignment vertical="center"/>
    </xf>
    <xf numFmtId="1" fontId="0" fillId="6" borderId="0" xfId="0" applyNumberFormat="1" applyFont="1" applyFill="1" applyAlignment="1" applyProtection="1">
      <alignment vertical="center"/>
    </xf>
    <xf numFmtId="14" fontId="0" fillId="6" borderId="0" xfId="0" applyNumberFormat="1" applyFont="1" applyFill="1" applyBorder="1" applyAlignment="1" applyProtection="1">
      <alignment horizontal="left" vertical="center" indent="1"/>
      <protection locked="0"/>
    </xf>
    <xf numFmtId="14" fontId="4" fillId="6" borderId="0" xfId="0" applyNumberFormat="1" applyFont="1" applyFill="1" applyBorder="1" applyAlignment="1" applyProtection="1">
      <alignment vertical="center"/>
    </xf>
    <xf numFmtId="165" fontId="15" fillId="6" borderId="0" xfId="2" applyNumberFormat="1" applyFont="1" applyFill="1" applyBorder="1" applyAlignment="1" applyProtection="1">
      <alignment vertical="center"/>
    </xf>
    <xf numFmtId="165" fontId="8" fillId="6" borderId="0" xfId="2" applyNumberFormat="1" applyFont="1" applyFill="1" applyBorder="1" applyAlignment="1" applyProtection="1">
      <alignment vertical="center"/>
    </xf>
    <xf numFmtId="1" fontId="4" fillId="6" borderId="0" xfId="0" applyNumberFormat="1" applyFont="1" applyFill="1" applyAlignment="1" applyProtection="1">
      <alignment vertical="center"/>
    </xf>
    <xf numFmtId="165" fontId="36" fillId="6" borderId="0" xfId="0" applyNumberFormat="1" applyFont="1" applyFill="1" applyBorder="1" applyAlignment="1" applyProtection="1">
      <alignment horizontal="left" vertical="top"/>
    </xf>
    <xf numFmtId="168" fontId="38" fillId="6" borderId="0" xfId="0" applyNumberFormat="1" applyFont="1" applyFill="1" applyBorder="1" applyAlignment="1" applyProtection="1">
      <alignment horizontal="left" vertical="top"/>
    </xf>
    <xf numFmtId="165" fontId="37" fillId="6" borderId="0" xfId="0" applyNumberFormat="1" applyFont="1" applyFill="1" applyAlignment="1" applyProtection="1">
      <alignment horizontal="left" vertical="top"/>
    </xf>
    <xf numFmtId="165" fontId="37" fillId="6" borderId="0" xfId="0" applyNumberFormat="1" applyFont="1" applyFill="1" applyBorder="1" applyAlignment="1" applyProtection="1">
      <alignment horizontal="left" vertical="top"/>
    </xf>
    <xf numFmtId="168" fontId="38" fillId="6" borderId="0" xfId="0" applyNumberFormat="1" applyFont="1" applyFill="1" applyAlignment="1" applyProtection="1">
      <alignment horizontal="left" vertical="top"/>
    </xf>
    <xf numFmtId="168" fontId="38" fillId="6" borderId="0" xfId="0" applyNumberFormat="1" applyFont="1" applyFill="1" applyAlignment="1" applyProtection="1">
      <alignment horizontal="left" vertical="top"/>
      <protection locked="0"/>
    </xf>
    <xf numFmtId="1" fontId="15" fillId="6" borderId="0" xfId="0" applyNumberFormat="1" applyFont="1" applyFill="1" applyAlignment="1" applyProtection="1">
      <alignment vertical="center"/>
    </xf>
    <xf numFmtId="1" fontId="37" fillId="6" borderId="0" xfId="0" applyNumberFormat="1" applyFont="1" applyFill="1" applyAlignment="1" applyProtection="1">
      <alignment horizontal="left" vertical="top"/>
    </xf>
    <xf numFmtId="0" fontId="0" fillId="6" borderId="0" xfId="0" applyFill="1" applyAlignment="1" applyProtection="1">
      <alignment vertical="center"/>
      <protection locked="0"/>
    </xf>
    <xf numFmtId="0" fontId="37" fillId="6" borderId="0" xfId="0" applyFont="1" applyFill="1" applyAlignment="1" applyProtection="1">
      <alignment horizontal="left" vertical="top"/>
      <protection locked="0"/>
    </xf>
    <xf numFmtId="168" fontId="38" fillId="6" borderId="0" xfId="2" applyNumberFormat="1" applyFont="1" applyFill="1" applyAlignment="1" applyProtection="1">
      <alignment horizontal="left" vertical="top"/>
    </xf>
    <xf numFmtId="0" fontId="2" fillId="6" borderId="0" xfId="2" applyNumberFormat="1" applyFont="1" applyFill="1" applyBorder="1" applyAlignment="1" applyProtection="1">
      <alignment horizontal="center" vertical="center"/>
    </xf>
    <xf numFmtId="165" fontId="39" fillId="7" borderId="0" xfId="0" applyNumberFormat="1" applyFont="1" applyFill="1" applyAlignment="1" applyProtection="1">
      <alignment vertical="center"/>
    </xf>
    <xf numFmtId="165" fontId="39" fillId="7" borderId="0" xfId="0" applyNumberFormat="1" applyFont="1" applyFill="1" applyAlignment="1" applyProtection="1">
      <alignment horizontal="right" vertical="center"/>
    </xf>
    <xf numFmtId="9" fontId="8" fillId="6" borderId="0" xfId="2" applyFont="1" applyFill="1" applyBorder="1" applyAlignment="1" applyProtection="1">
      <alignment vertical="center"/>
      <protection locked="0"/>
    </xf>
    <xf numFmtId="9" fontId="6" fillId="6" borderId="0" xfId="2" applyFont="1" applyFill="1" applyBorder="1" applyAlignment="1" applyProtection="1">
      <alignment horizontal="left" vertical="center" wrapText="1" indent="1"/>
      <protection locked="0"/>
    </xf>
    <xf numFmtId="1" fontId="6" fillId="6" borderId="0" xfId="2" applyNumberFormat="1" applyFont="1" applyFill="1" applyBorder="1" applyAlignment="1" applyProtection="1">
      <alignment horizontal="left" vertical="center" wrapText="1" indent="1"/>
      <protection locked="0"/>
    </xf>
    <xf numFmtId="165" fontId="6" fillId="6" borderId="0" xfId="2" applyNumberFormat="1" applyFont="1" applyFill="1" applyBorder="1" applyAlignment="1" applyProtection="1">
      <alignment horizontal="right" vertical="center" indent="2"/>
      <protection locked="0"/>
    </xf>
    <xf numFmtId="14" fontId="0" fillId="6" borderId="0" xfId="2" applyNumberFormat="1" applyFont="1" applyFill="1" applyBorder="1" applyAlignment="1" applyProtection="1">
      <alignment horizontal="left" vertical="center" indent="1"/>
      <protection locked="0"/>
    </xf>
    <xf numFmtId="1" fontId="0" fillId="6" borderId="0" xfId="2" applyNumberFormat="1" applyFont="1" applyFill="1" applyBorder="1" applyAlignment="1" applyProtection="1">
      <alignment horizontal="left" vertical="center" indent="1"/>
      <protection locked="0"/>
    </xf>
    <xf numFmtId="165" fontId="7" fillId="6" borderId="0" xfId="2" applyNumberFormat="1" applyFont="1" applyFill="1" applyBorder="1" applyAlignment="1" applyProtection="1">
      <alignment horizontal="right" vertical="center" indent="2"/>
      <protection locked="0"/>
    </xf>
    <xf numFmtId="166" fontId="0" fillId="6" borderId="0" xfId="2" applyNumberFormat="1" applyFont="1" applyFill="1" applyBorder="1" applyAlignment="1" applyProtection="1">
      <alignment horizontal="left" vertical="center" indent="1"/>
      <protection locked="0"/>
    </xf>
    <xf numFmtId="1" fontId="32" fillId="6" borderId="0" xfId="2" applyNumberFormat="1" applyFont="1" applyFill="1" applyBorder="1" applyAlignment="1" applyProtection="1">
      <alignment horizontal="left" vertical="center" indent="1"/>
      <protection locked="0"/>
    </xf>
    <xf numFmtId="165" fontId="33" fillId="6" borderId="0" xfId="2" applyNumberFormat="1" applyFont="1" applyFill="1" applyBorder="1" applyAlignment="1" applyProtection="1">
      <alignment horizontal="right" vertical="center" indent="2"/>
      <protection locked="0"/>
    </xf>
    <xf numFmtId="1" fontId="25" fillId="6" borderId="0" xfId="2" applyNumberFormat="1" applyFont="1" applyFill="1" applyBorder="1" applyAlignment="1" applyProtection="1">
      <alignment horizontal="left" vertical="center" indent="1"/>
      <protection locked="0"/>
    </xf>
    <xf numFmtId="165" fontId="27" fillId="6" borderId="0" xfId="2" applyNumberFormat="1" applyFont="1" applyFill="1" applyBorder="1" applyAlignment="1" applyProtection="1">
      <alignment horizontal="right" vertical="center" indent="2"/>
      <protection locked="0"/>
    </xf>
    <xf numFmtId="9" fontId="32" fillId="6" borderId="0" xfId="0" applyNumberFormat="1" applyFont="1" applyFill="1" applyBorder="1" applyAlignment="1" applyProtection="1">
      <alignment vertical="center"/>
      <protection locked="0"/>
    </xf>
    <xf numFmtId="1" fontId="32" fillId="6" borderId="0" xfId="0" applyNumberFormat="1" applyFont="1" applyFill="1" applyBorder="1" applyAlignment="1" applyProtection="1">
      <alignment vertical="center"/>
      <protection locked="0"/>
    </xf>
    <xf numFmtId="165" fontId="32" fillId="6" borderId="0" xfId="0" applyNumberFormat="1" applyFont="1" applyFill="1" applyAlignment="1" applyProtection="1">
      <alignment vertical="center"/>
      <protection locked="0"/>
    </xf>
    <xf numFmtId="1" fontId="30" fillId="6" borderId="0" xfId="2" applyNumberFormat="1" applyFont="1" applyFill="1" applyBorder="1" applyAlignment="1" applyProtection="1">
      <alignment horizontal="left" vertical="center" indent="1"/>
      <protection locked="0"/>
    </xf>
    <xf numFmtId="165" fontId="31" fillId="6" borderId="0" xfId="2" applyNumberFormat="1" applyFont="1" applyFill="1" applyBorder="1" applyAlignment="1" applyProtection="1">
      <alignment horizontal="right" vertical="center" indent="2"/>
      <protection locked="0"/>
    </xf>
    <xf numFmtId="166" fontId="6" fillId="6" borderId="0" xfId="2" applyNumberFormat="1" applyFont="1" applyFill="1" applyBorder="1" applyAlignment="1" applyProtection="1">
      <alignment horizontal="left" vertical="center" wrapText="1" indent="1"/>
      <protection locked="0"/>
    </xf>
    <xf numFmtId="15" fontId="0" fillId="6" borderId="0" xfId="0" applyNumberFormat="1" applyFill="1" applyBorder="1" applyProtection="1">
      <alignment vertical="center"/>
      <protection locked="0"/>
    </xf>
    <xf numFmtId="165" fontId="3" fillId="6" borderId="0" xfId="2" applyNumberFormat="1" applyFont="1" applyFill="1" applyBorder="1" applyAlignment="1" applyProtection="1">
      <alignment horizontal="center" vertical="center"/>
      <protection locked="0"/>
    </xf>
    <xf numFmtId="165" fontId="3" fillId="6" borderId="1" xfId="2" applyNumberFormat="1" applyFont="1" applyFill="1" applyBorder="1" applyAlignment="1" applyProtection="1">
      <alignment horizontal="center" vertical="center"/>
      <protection locked="0"/>
    </xf>
    <xf numFmtId="0" fontId="0" fillId="2" borderId="0" xfId="0" applyAlignment="1" applyProtection="1">
      <alignment horizontal="center" vertical="center" wrapText="1"/>
      <protection locked="0"/>
    </xf>
    <xf numFmtId="168" fontId="34" fillId="6" borderId="0" xfId="2" applyNumberFormat="1" applyFont="1" applyFill="1" applyBorder="1" applyAlignment="1" applyProtection="1">
      <alignment horizontal="center" vertical="center"/>
    </xf>
    <xf numFmtId="0" fontId="34" fillId="6" borderId="0" xfId="2" applyNumberFormat="1" applyFont="1" applyFill="1" applyBorder="1" applyAlignment="1" applyProtection="1">
      <alignment horizontal="center" vertical="center"/>
    </xf>
    <xf numFmtId="14" fontId="15" fillId="0" borderId="0" xfId="2" applyNumberFormat="1" applyFont="1" applyFill="1" applyBorder="1" applyAlignment="1" applyProtection="1">
      <alignment horizontal="center" vertical="center"/>
    </xf>
    <xf numFmtId="165" fontId="7" fillId="0" borderId="0" xfId="3" applyNumberFormat="1" applyFont="1" applyFill="1" applyAlignment="1" applyProtection="1">
      <alignment horizontal="center" vertical="center"/>
    </xf>
    <xf numFmtId="165" fontId="22" fillId="0" borderId="0" xfId="0" applyNumberFormat="1" applyFont="1" applyFill="1" applyAlignment="1" applyProtection="1">
      <alignment horizontal="center" vertical="center"/>
    </xf>
    <xf numFmtId="165" fontId="22" fillId="6" borderId="0" xfId="0" applyNumberFormat="1" applyFont="1" applyFill="1" applyAlignment="1" applyProtection="1">
      <alignment horizontal="center" vertical="center"/>
    </xf>
    <xf numFmtId="165" fontId="26" fillId="6" borderId="0" xfId="2" applyNumberFormat="1" applyFont="1" applyFill="1" applyBorder="1" applyAlignment="1" applyProtection="1">
      <alignment horizontal="center" vertical="center" wrapText="1"/>
    </xf>
    <xf numFmtId="14" fontId="15" fillId="6" borderId="0" xfId="2" applyNumberFormat="1" applyFont="1" applyFill="1" applyBorder="1" applyAlignment="1" applyProtection="1">
      <alignment horizontal="center" vertical="center"/>
    </xf>
    <xf numFmtId="165" fontId="15" fillId="6" borderId="0" xfId="2" applyNumberFormat="1" applyFont="1" applyFill="1" applyBorder="1" applyAlignment="1" applyProtection="1">
      <alignment horizontal="center" vertical="center"/>
    </xf>
    <xf numFmtId="165" fontId="15" fillId="6" borderId="1" xfId="2" applyNumberFormat="1" applyFont="1" applyFill="1" applyBorder="1" applyAlignment="1" applyProtection="1">
      <alignment horizontal="center" vertical="center"/>
    </xf>
    <xf numFmtId="0" fontId="15" fillId="6" borderId="0" xfId="0" applyNumberFormat="1" applyFont="1" applyFill="1" applyBorder="1" applyAlignment="1" applyProtection="1">
      <alignment horizontal="center" vertical="center"/>
    </xf>
    <xf numFmtId="1" fontId="15" fillId="6" borderId="0" xfId="0" applyNumberFormat="1" applyFont="1" applyFill="1" applyAlignment="1" applyProtection="1">
      <alignment horizontal="center" vertical="center"/>
    </xf>
    <xf numFmtId="0" fontId="24" fillId="6" borderId="0" xfId="0" applyFont="1" applyFill="1" applyAlignment="1" applyProtection="1">
      <alignment horizontal="center" vertical="center"/>
      <protection locked="0"/>
    </xf>
    <xf numFmtId="0" fontId="0" fillId="6" borderId="0" xfId="0" applyFill="1" applyAlignment="1" applyProtection="1">
      <alignment horizontal="center" vertical="center"/>
      <protection locked="0"/>
    </xf>
    <xf numFmtId="14" fontId="24" fillId="6" borderId="0" xfId="2" applyNumberFormat="1" applyFont="1" applyFill="1" applyBorder="1" applyAlignment="1" applyProtection="1">
      <alignment horizontal="center" vertical="center"/>
    </xf>
    <xf numFmtId="165" fontId="15" fillId="0" borderId="0" xfId="2" applyNumberFormat="1" applyFont="1" applyFill="1" applyBorder="1" applyAlignment="1" applyProtection="1">
      <alignment horizontal="center" vertical="center"/>
    </xf>
    <xf numFmtId="0" fontId="35" fillId="6" borderId="0" xfId="0" applyFont="1" applyFill="1" applyAlignment="1" applyProtection="1">
      <alignment horizontal="center" vertical="center"/>
      <protection locked="0"/>
    </xf>
    <xf numFmtId="15" fontId="12" fillId="2" borderId="0" xfId="0" applyNumberFormat="1" applyFont="1" applyFill="1" applyBorder="1" applyAlignment="1" applyProtection="1">
      <alignment horizontal="left" vertical="center" wrapText="1" indent="1"/>
      <protection locked="0"/>
    </xf>
    <xf numFmtId="9" fontId="0" fillId="0" borderId="0" xfId="0" applyNumberFormat="1" applyFont="1" applyFill="1" applyAlignment="1" applyProtection="1">
      <alignment vertical="center"/>
    </xf>
    <xf numFmtId="165" fontId="0" fillId="0" borderId="0" xfId="0" applyNumberFormat="1" applyFont="1" applyFill="1" applyAlignment="1" applyProtection="1">
      <alignment vertical="center"/>
    </xf>
  </cellXfs>
  <cellStyles count="4">
    <cellStyle name="Currency" xfId="3" builtinId="4"/>
    <cellStyle name="Heading 1" xfId="1" builtinId="16"/>
    <cellStyle name="Normal" xfId="0" builtinId="0"/>
    <cellStyle name="Percent" xfId="2" builtinId="5"/>
  </cellStyles>
  <dxfs count="1236">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0" formatCode="General"/>
      <fill>
        <patternFill patternType="solid">
          <fgColor indexed="64"/>
          <bgColor theme="0" tint="-0.14999847407452621"/>
        </patternFill>
      </fill>
      <border diagonalUp="0" diagonalDown="0" outline="0">
        <left/>
        <right/>
        <top/>
        <bottom/>
      </border>
      <protection locked="1" hidden="0"/>
    </dxf>
    <dxf>
      <numFmt numFmtId="165" formatCode="_ [$ETB]\ * #,##0.00_ ;_ [$ETB]\ * \-#,##0.00_ ;_ [$ETB]\ * &quot;-&quot;??_ ;_ @_ "/>
      <fill>
        <patternFill patternType="solid">
          <fgColor indexed="64"/>
          <bgColor rgb="FFEAEAEA"/>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none">
          <fgColor indexed="64"/>
          <bgColor indexed="65"/>
        </patternFill>
      </fill>
      <alignment horizontal="general" vertical="center" textRotation="0" wrapText="0" indent="0" justifyLastLine="0" shrinkToFit="0" readingOrder="0"/>
      <protection locked="1" hidden="0"/>
    </dxf>
    <dxf>
      <numFmt numFmtId="165" formatCode="_ [$ETB]\ * #,##0.00_ ;_ [$ETB]\ * \-#,##0.00_ ;_ [$ETB]\ * &quot;-&quot;??_ ;_ @_ "/>
      <fill>
        <patternFill patternType="none">
          <fgColor indexed="64"/>
          <bgColor indexed="65"/>
        </patternFill>
      </fill>
      <protection locked="1" hidden="0"/>
    </dxf>
    <dxf>
      <font>
        <b val="0"/>
        <i val="0"/>
        <strike val="0"/>
        <condense val="0"/>
        <extend val="0"/>
        <outline val="0"/>
        <shadow val="0"/>
        <u val="none"/>
        <vertAlign val="baseline"/>
        <sz val="10"/>
        <color theme="1" tint="0.24994659260841701"/>
        <name val="Trebuchet MS"/>
        <scheme val="minor"/>
      </font>
      <numFmt numFmtId="13" formatCode="0%"/>
      <fill>
        <patternFill patternType="none">
          <fgColor indexed="64"/>
          <bgColor indexed="65"/>
        </patternFill>
      </fill>
      <alignment horizontal="general" vertical="center" textRotation="0" wrapText="0" indent="0" justifyLastLine="0" shrinkToFit="0" readingOrder="0"/>
      <protection locked="1" hidden="0"/>
    </dxf>
    <dxf>
      <numFmt numFmtId="165" formatCode="_ [$ETB]\ * #,##0.00_ ;_ [$ETB]\ * \-#,##0.00_ ;_ [$ETB]\ * &quot;-&quot;??_ ;_ @_ "/>
      <fill>
        <patternFill patternType="none">
          <fgColor indexed="64"/>
          <bgColor indexed="65"/>
        </patternFill>
      </fill>
      <protection locked="1" hidden="0"/>
    </dxf>
    <dxf>
      <numFmt numFmtId="2" formatCode="0.00"/>
      <fill>
        <patternFill patternType="none">
          <fgColor indexed="64"/>
          <bgColor indexed="65"/>
        </patternFill>
      </fill>
      <protection locked="1" hidden="0"/>
    </dxf>
    <dxf>
      <numFmt numFmtId="0" formatCode="General"/>
      <fill>
        <patternFill patternType="none">
          <fgColor indexed="64"/>
          <bgColor indexed="65"/>
        </patternFill>
      </fill>
      <protection locked="1" hidden="0"/>
    </dxf>
    <dxf>
      <numFmt numFmtId="19" formatCode="m/d/yyyy"/>
      <fill>
        <patternFill patternType="none">
          <fgColor indexed="64"/>
          <bgColor indexed="65"/>
        </patternFill>
      </fill>
      <border diagonalUp="0" diagonalDown="0" outline="0">
        <left/>
        <right/>
        <top/>
        <bottom/>
      </border>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font>
        <strike val="0"/>
        <outline val="0"/>
        <shadow val="0"/>
        <u val="none"/>
        <vertAlign val="baseline"/>
        <sz val="10"/>
        <color rgb="FFCC9900"/>
        <name val="Trebuchet MS"/>
        <scheme val="minor"/>
      </font>
      <numFmt numFmtId="165" formatCode="_ [$ETB]\ * #,##0.00_ ;_ [$ETB]\ * \-#,##0.00_ ;_ [$ETB]\ * &quot;-&quot;??_ ;_ @_ "/>
      <fill>
        <patternFill patternType="solid">
          <fgColor indexed="64"/>
          <bgColor rgb="FFEAEAEA"/>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4" formatCode="0.00%"/>
      <fill>
        <patternFill patternType="none">
          <fgColor indexed="64"/>
          <bgColor indexed="65"/>
        </patternFill>
      </fill>
      <protection locked="0" hidden="0"/>
    </dxf>
    <dxf>
      <numFmt numFmtId="165" formatCode="_ [$ETB]\ * #,##0.00_ ;_ [$ETB]\ * \-#,##0.00_ ;_ [$ETB]\ * &quot;-&quot;??_ ;_ @_ "/>
      <fill>
        <patternFill patternType="none">
          <fgColor indexed="64"/>
          <bgColor indexed="65"/>
        </patternFill>
      </fill>
      <protection locked="0" hidden="0"/>
    </dxf>
    <dxf>
      <numFmt numFmtId="2" formatCode="0.00"/>
      <fill>
        <patternFill patternType="none">
          <fgColor indexed="64"/>
          <bgColor indexed="65"/>
        </patternFill>
      </fill>
      <protection locked="0" hidden="0"/>
    </dxf>
    <dxf>
      <numFmt numFmtId="0" formatCode="General"/>
      <fill>
        <patternFill patternType="none">
          <fgColor indexed="64"/>
          <bgColor indexed="65"/>
        </patternFill>
      </fill>
      <protection locked="0" hidden="0"/>
    </dxf>
    <dxf>
      <numFmt numFmtId="19" formatCode="m/d/yyyy"/>
      <fill>
        <patternFill patternType="none">
          <fgColor indexed="64"/>
          <bgColor indexed="65"/>
        </patternFill>
      </fill>
      <border diagonalUp="0" diagonalDown="0" outline="0">
        <left/>
        <right/>
        <top/>
        <bottom/>
      </border>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alignment horizontal="right" vertical="center" textRotation="0" wrapText="0" indent="2"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9" formatCode="m/d/yyyy"/>
      <fill>
        <patternFill patternType="solid">
          <fgColor indexed="64"/>
          <bgColor theme="0" tint="-0.14999847407452621"/>
        </patternFill>
      </fill>
      <alignment horizontal="left" vertical="center" textRotation="0" wrapText="0" indent="1" justifyLastLine="0" shrinkToFit="0" readingOrder="0"/>
      <protection locked="0"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7" formatCode="[$-409]d\-mmm\-yy;@"/>
      <fill>
        <patternFill patternType="solid">
          <fgColor indexed="64"/>
          <bgColor theme="0" tint="-0.14999847407452621"/>
        </patternFill>
      </fill>
      <alignment horizontal="left" vertical="center" textRotation="0" wrapText="0" indent="1" justifyLastLine="0" shrinkToFit="0" readingOrder="0"/>
      <protection locked="0"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1" hidden="0"/>
    </dxf>
    <dxf>
      <font>
        <strike val="0"/>
        <outline val="0"/>
        <shadow val="0"/>
        <u val="none"/>
        <vertAlign val="baseline"/>
        <sz val="10"/>
        <color rgb="FF00B050"/>
        <name val="Trebuchet MS"/>
        <scheme val="minor"/>
      </font>
      <numFmt numFmtId="165" formatCode="_ [$ETB]\ * #,##0.00_ ;_ [$ETB]\ * \-#,##0.00_ ;_ [$ETB]\ * &quot;-&quot;??_ ;_ @_ "/>
      <fill>
        <patternFill patternType="solid">
          <fgColor indexed="64"/>
          <bgColor theme="0" tint="-0.14999847407452621"/>
        </patternFill>
      </fill>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9" formatCode="m/d/yyyy"/>
      <fill>
        <patternFill patternType="solid">
          <fgColor indexed="64"/>
          <bgColor theme="0" tint="-0.14999847407452621"/>
        </patternFill>
      </fill>
      <alignment horizontal="general" vertical="center" textRotation="0" wrapText="0" indent="0" justifyLastLine="0" shrinkToFit="0" readingOrder="0"/>
      <protection locked="1" hidden="0"/>
    </dxf>
    <dxf>
      <numFmt numFmtId="166" formatCode="d/m/yyyy"/>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fill>
        <patternFill patternType="solid">
          <fgColor indexed="64"/>
          <bgColor theme="0" tint="-0.14999847407452621"/>
        </patternFill>
      </fill>
      <protection locked="1" hidden="0"/>
    </dxf>
    <dxf>
      <numFmt numFmtId="0" formatCode="General"/>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ill>
        <patternFill patternType="solid">
          <fgColor indexed="64"/>
          <bgColor theme="0" tint="-0.14999847407452621"/>
        </patternFill>
      </fill>
      <protection locked="1" hidden="0"/>
    </dxf>
    <dxf>
      <font>
        <strike val="0"/>
        <outline val="0"/>
        <shadow val="0"/>
        <u val="none"/>
        <vertAlign val="baseline"/>
        <sz val="10"/>
        <color rgb="FF00B050"/>
        <name val="Trebuchet MS"/>
        <scheme val="minor"/>
      </font>
      <fill>
        <patternFill patternType="solid">
          <fgColor indexed="64"/>
          <bgColor theme="0" tint="-0.14999847407452621"/>
        </patternFill>
      </fill>
      <protection locked="1" hidden="0"/>
    </dxf>
    <dxf>
      <numFmt numFmtId="165" formatCode="_ [$ETB]\ * #,##0.00_ ;_ [$ETB]\ * \-#,##0.00_ ;_ [$ETB]\ * &quot;-&quot;??_ ;_ @_ "/>
      <protection locked="0" hidden="0"/>
    </dxf>
    <dxf>
      <font>
        <b val="0"/>
        <i val="0"/>
        <strike val="0"/>
        <condense val="0"/>
        <extend val="0"/>
        <outline val="0"/>
        <shadow val="0"/>
        <u val="none"/>
        <vertAlign val="baseline"/>
        <sz val="10"/>
        <color theme="1" tint="0.24994659260841701"/>
        <name val="Trebuchet MS"/>
        <scheme val="minor"/>
      </font>
      <fill>
        <patternFill patternType="solid">
          <fgColor indexed="64"/>
          <bgColor theme="0" tint="-4.9989318521683403E-2"/>
        </patternFill>
      </fill>
      <alignment horizontal="left" vertical="center" textRotation="0" wrapText="0" indent="0" justifyLastLine="0" shrinkToFit="0" readingOrder="0"/>
      <protection locked="0" hidden="0"/>
    </dxf>
    <dxf>
      <numFmt numFmtId="165" formatCode="_ [$ETB]\ * #,##0.00_ ;_ [$ETB]\ * \-#,##0.00_ ;_ [$ETB]\ * &quot;-&quot;??_ ;_ @_ "/>
      <protection locked="0" hidden="0"/>
    </dxf>
    <dxf>
      <numFmt numFmtId="2" formatCode="0.00"/>
      <protection locked="0" hidden="0"/>
    </dxf>
    <dxf>
      <numFmt numFmtId="0" formatCode="General"/>
      <protection locked="0" hidden="0"/>
    </dxf>
    <dxf>
      <protection locked="0" hidden="0"/>
    </dxf>
    <dxf>
      <protection locked="0" hidden="0"/>
    </dxf>
    <dxf>
      <protection locked="0" hidden="0"/>
    </dxf>
    <dxf>
      <font>
        <strike val="0"/>
        <outline val="0"/>
        <shadow val="0"/>
        <u val="none"/>
        <vertAlign val="baseline"/>
        <sz val="10"/>
        <color rgb="FFCC9900"/>
        <name val="Trebuchet MS"/>
        <scheme val="minor"/>
      </font>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fill>
        <patternFill patternType="none">
          <fgColor indexed="64"/>
          <bgColor indexed="65"/>
        </patternFill>
      </fill>
      <protection locked="0" hidden="0"/>
    </dxf>
    <dxf>
      <numFmt numFmtId="14" formatCode="0.0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2" formatCode="0.00"/>
      <fill>
        <patternFill patternType="none">
          <fgColor indexed="64"/>
          <bgColor indexed="65"/>
        </patternFill>
      </fill>
      <protection locked="0" hidden="0"/>
    </dxf>
    <dxf>
      <numFmt numFmtId="2" formatCode="0.00"/>
      <protection locked="0" hidden="0"/>
    </dxf>
    <dxf>
      <numFmt numFmtId="0" formatCode="General"/>
      <fill>
        <patternFill patternType="none">
          <fgColor indexed="64"/>
          <bgColor indexed="65"/>
        </patternFill>
      </fill>
      <protection locked="0" hidden="0"/>
    </dxf>
    <dxf>
      <numFmt numFmtId="0" formatCode="General"/>
      <protection locked="0" hidden="0"/>
    </dxf>
    <dxf>
      <numFmt numFmtId="19" formatCode="m/d/yyyy"/>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4" formatCode="0.00%"/>
      <protection locked="0" hidden="0"/>
    </dxf>
    <dxf>
      <numFmt numFmtId="165" formatCode="_ [$ETB]\ * #,##0.00_ ;_ [$ETB]\ * \-#,##0.00_ ;_ [$ETB]\ * &quot;-&quot;??_ ;_ @_ "/>
      <protection locked="0" hidden="0"/>
    </dxf>
    <dxf>
      <numFmt numFmtId="2" formatCode="0.00"/>
      <protection locked="0" hidden="0"/>
    </dxf>
    <dxf>
      <numFmt numFmtId="0" formatCode="General"/>
      <protection locked="0" hidden="0"/>
    </dxf>
    <dxf>
      <font>
        <b val="0"/>
        <i val="0"/>
        <strike val="0"/>
        <condense val="0"/>
        <extend val="0"/>
        <outline val="0"/>
        <shadow val="0"/>
        <u val="none"/>
        <vertAlign val="baseline"/>
        <sz val="10"/>
        <color theme="1" tint="0.24994659260841701"/>
        <name val="Trebuchet MS"/>
        <scheme val="minor"/>
      </font>
      <numFmt numFmtId="166" formatCode="d/m/yyyy"/>
      <fill>
        <patternFill patternType="solid">
          <fgColor indexed="64"/>
          <bgColor theme="0" tint="-4.9989318521683403E-2"/>
        </patternFill>
      </fill>
      <alignment horizontal="left" vertical="center" textRotation="0" wrapText="0" indent="1" justifyLastLine="0" shrinkToFit="0" readingOrder="0"/>
      <protection locked="0" hidden="0"/>
    </dxf>
    <dxf>
      <protection locked="0" hidden="0"/>
    </dxf>
    <dxf>
      <protection locked="0" hidden="0"/>
    </dxf>
    <dxf>
      <protection locked="0" hidden="0"/>
    </dxf>
    <dxf>
      <font>
        <strike val="0"/>
        <outline val="0"/>
        <shadow val="0"/>
        <u val="none"/>
        <vertAlign val="baseline"/>
        <sz val="10"/>
        <color theme="9" tint="-0.249977111117893"/>
        <name val="Trebuchet MS"/>
        <scheme val="minor"/>
      </font>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0070C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fgColor indexed="64"/>
          <bgColor theme="7" tint="0.59999389629810485"/>
        </patternFill>
      </fill>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19" formatCode="m/d/yyyy"/>
      <fill>
        <patternFill patternType="solid">
          <fgColor indexed="64"/>
          <bgColor theme="7" tint="0.59999389629810485"/>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0" formatCode="General"/>
      <fill>
        <patternFill patternType="solid">
          <fgColor indexed="64"/>
          <bgColor theme="7" tint="0.59999389629810485"/>
        </patternFill>
      </fill>
      <alignment horizontal="right" vertical="center" textRotation="0" wrapText="0" indent="0" justifyLastLine="0" shrinkToFit="0" readingOrder="0"/>
      <protection locked="0" hidden="0"/>
    </dxf>
    <dxf>
      <numFmt numFmtId="19" formatCode="m/d/yyyy"/>
      <fill>
        <patternFill patternType="none">
          <fgColor indexed="64"/>
          <bgColor indexed="65"/>
        </patternFill>
      </fill>
      <protection locked="0" hidden="0"/>
    </dxf>
    <dxf>
      <numFmt numFmtId="166" formatCode="d/m/yyyy"/>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protection locked="0" hidden="0"/>
    </dxf>
    <dxf>
      <numFmt numFmtId="0" formatCode="General"/>
      <fill>
        <patternFill patternType="none">
          <fgColor indexed="64"/>
          <bgColor indexed="65"/>
        </patternFill>
      </fill>
      <protection locked="0" hidden="0"/>
    </dxf>
    <dxf>
      <numFmt numFmtId="0" formatCode="General"/>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9" formatCode="m/d/yyyy"/>
      <fill>
        <patternFill patternType="none">
          <fgColor indexed="64"/>
          <bgColor indexed="65"/>
        </patternFill>
      </fill>
      <border diagonalUp="0" diagonalDown="0" outline="0">
        <left/>
        <right/>
        <top/>
        <bottom/>
      </border>
      <protection locked="0" hidden="0"/>
    </dxf>
    <dxf>
      <numFmt numFmtId="166" formatCode="d/m/yyyy"/>
      <protection locked="0" hidden="0"/>
    </dxf>
    <dxf>
      <protection locked="0" hidden="0"/>
    </dxf>
    <dxf>
      <protection locked="0" hidden="0"/>
    </dxf>
    <dxf>
      <font>
        <strike val="0"/>
        <outline val="0"/>
        <shadow val="0"/>
        <u val="none"/>
        <vertAlign val="baseline"/>
        <sz val="10"/>
        <color theme="7" tint="-0.249977111117893"/>
        <name val="Trebuchet MS"/>
        <scheme val="minor"/>
      </font>
      <protection locked="1" hidden="0"/>
    </dxf>
    <dxf>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FFC00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left" vertical="center" textRotation="0" wrapText="0" indent="0" justifyLastLine="0" shrinkToFit="0" readingOrder="0"/>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1" formatCode="0"/>
      <fill>
        <patternFill patternType="none">
          <fgColor indexed="64"/>
          <bgColor indexed="65"/>
        </patternFill>
      </fill>
      <protection locked="0" hidden="0"/>
    </dxf>
    <dxf>
      <numFmt numFmtId="1" formatCode="0"/>
      <fill>
        <patternFill patternType="solid">
          <fgColor indexed="64"/>
          <bgColor theme="0" tint="-4.9989318521683403E-2"/>
        </patternFill>
      </fill>
      <alignment horizontal="left" vertical="center" textRotation="0" wrapText="0" indent="0" justifyLastLine="0" shrinkToFit="0" readingOrder="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0" formatCode="General"/>
      <fill>
        <patternFill patternType="none">
          <fgColor indexed="64"/>
          <bgColor indexed="65"/>
        </patternFill>
      </fill>
      <protection locked="0" hidden="0"/>
    </dxf>
    <dxf>
      <numFmt numFmtId="0" formatCode="General"/>
      <fill>
        <patternFill patternType="solid">
          <fgColor indexed="64"/>
          <bgColor theme="0" tint="-4.9989318521683403E-2"/>
        </patternFill>
      </fill>
      <alignment horizontal="left" vertical="center" textRotation="0" wrapText="0" indent="0" justifyLastLine="0" shrinkToFit="0" readingOrder="0"/>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 formatCode="0"/>
      <fill>
        <patternFill patternType="none">
          <fgColor indexed="64"/>
          <bgColor indexed="65"/>
        </patternFill>
      </fill>
      <border diagonalUp="0" diagonalDown="0" outline="0">
        <left/>
        <right/>
        <top/>
        <bottom/>
      </border>
      <protection locked="0" hidden="0"/>
    </dxf>
    <dxf>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protection locked="0" hidden="0"/>
    </dxf>
    <dxf>
      <fill>
        <patternFill patternType="solid">
          <fgColor indexed="64"/>
          <bgColor theme="0" tint="-4.9989318521683403E-2"/>
        </patternFill>
      </fill>
      <alignment horizontal="left" vertical="center" textRotation="0" wrapText="0" indent="0" justifyLastLine="0" shrinkToFit="0" readingOrder="0"/>
      <protection locked="0" hidden="0"/>
    </dxf>
    <dxf>
      <font>
        <strike val="0"/>
        <outline val="0"/>
        <shadow val="0"/>
        <u val="none"/>
        <vertAlign val="baseline"/>
        <sz val="10"/>
        <color rgb="FFFFC000"/>
        <name val="Trebuchet MS"/>
        <scheme val="minor"/>
      </font>
      <protection locked="0" hidden="0"/>
    </dxf>
    <dxf>
      <numFmt numFmtId="165" formatCode="_ [$ETB]\ * #,##0.00_ ;_ [$ETB]\ * \-#,##0.00_ ;_ [$ETB]\ * &quot;-&quot;??_ ;_ @_ "/>
      <fill>
        <patternFill patternType="solid">
          <fgColor indexed="64"/>
          <bgColor theme="7" tint="0.59999389629810485"/>
        </patternFill>
      </fill>
      <alignment horizontal="right" vertical="center" textRotation="0" wrapText="0" indent="0" justifyLastLine="0" shrinkToFit="0" readingOrder="0"/>
      <protection locked="1" hidden="0"/>
    </dxf>
    <dxf>
      <font>
        <strike val="0"/>
        <outline val="0"/>
        <shadow val="0"/>
        <u val="none"/>
        <vertAlign val="baseline"/>
        <sz val="10"/>
        <color rgb="FFFFC000"/>
        <name val="Trebuchet MS"/>
        <scheme val="minor"/>
      </font>
      <numFmt numFmtId="165" formatCode="_ [$ETB]\ * #,##0.00_ ;_ [$ETB]\ * \-#,##0.00_ ;_ [$ETB]\ * &quot;-&quot;??_ ;_ @_ "/>
      <fill>
        <patternFill patternType="solid">
          <fgColor indexed="64"/>
          <bgColor theme="7" tint="0.59999389629810485"/>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7" tint="0.59999389629810485"/>
        </patternFill>
      </fill>
      <protection locked="1" hidden="0"/>
    </dxf>
    <dxf>
      <numFmt numFmtId="165" formatCode="_ [$ETB]\ * #,##0.00_ ;_ [$ETB]\ * \-#,##0.00_ ;_ [$ETB]\ * &quot;-&quot;??_ ;_ @_ "/>
      <fill>
        <patternFill patternType="solid">
          <fgColor indexed="64"/>
          <bgColor theme="7" tint="0.59999389629810485"/>
        </patternFill>
      </fill>
      <alignment horizontal="left" vertical="center" textRotation="0" wrapText="0" indent="0" justifyLastLine="0" shrinkToFit="0" readingOrder="0"/>
      <protection locked="1"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1" formatCode="0"/>
      <fill>
        <patternFill patternType="none">
          <fgColor indexed="64"/>
          <bgColor indexed="65"/>
        </patternFill>
      </fill>
      <protection locked="0" hidden="0"/>
    </dxf>
    <dxf>
      <numFmt numFmtId="1" formatCode="0"/>
      <fill>
        <patternFill patternType="solid">
          <fgColor indexed="64"/>
          <bgColor theme="0" tint="-4.9989318521683403E-2"/>
        </patternFill>
      </fill>
      <alignment horizontal="left" vertical="center" textRotation="0" wrapText="0" indent="0" justifyLastLine="0" shrinkToFit="0" readingOrder="0"/>
      <protection locked="0" hidden="0"/>
    </dxf>
    <dxf>
      <numFmt numFmtId="165" formatCode="_ [$ETB]\ * #,##0.00_ ;_ [$ETB]\ * \-#,##0.00_ ;_ [$ETB]\ * &quot;-&quot;??_ ;_ @_ "/>
      <fill>
        <patternFill patternType="none">
          <fgColor indexed="64"/>
          <bgColor indexed="65"/>
        </patternFill>
      </fill>
      <protection locked="0" hidden="0"/>
    </dxf>
    <dxf>
      <numFmt numFmtId="165" formatCode="_ [$ETB]\ * #,##0.00_ ;_ [$ETB]\ * \-#,##0.00_ ;_ [$ETB]\ * &quot;-&quot;??_ ;_ @_ "/>
      <fill>
        <patternFill patternType="solid">
          <fgColor indexed="64"/>
          <bgColor theme="0" tint="-4.9989318521683403E-2"/>
        </patternFill>
      </fill>
      <alignment horizontal="left" vertical="center" textRotation="0" wrapText="0" indent="0" justifyLastLine="0" shrinkToFit="0" readingOrder="0"/>
      <protection locked="0" hidden="0"/>
    </dxf>
    <dxf>
      <numFmt numFmtId="0" formatCode="General"/>
      <fill>
        <patternFill patternType="none">
          <fgColor indexed="64"/>
          <bgColor indexed="65"/>
        </patternFill>
      </fill>
      <protection locked="0" hidden="0"/>
    </dxf>
    <dxf>
      <numFmt numFmtId="0" formatCode="General"/>
      <fill>
        <patternFill patternType="solid">
          <fgColor indexed="64"/>
          <bgColor theme="0" tint="-4.9989318521683403E-2"/>
        </patternFill>
      </fill>
      <alignment horizontal="left" vertical="center" textRotation="0" wrapText="0" indent="0" justifyLastLine="0" shrinkToFit="0" readingOrder="0"/>
      <protection locked="0" hidden="0"/>
    </dxf>
    <dxf>
      <numFmt numFmtId="1" formatCode="0"/>
      <fill>
        <patternFill patternType="none">
          <fgColor indexed="64"/>
          <bgColor indexed="65"/>
        </patternFill>
      </fill>
      <border diagonalUp="0" diagonalDown="0" outline="0">
        <left/>
        <right/>
        <top/>
        <bottom/>
      </border>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numFmt numFmtId="1" formatCode="0"/>
      <fill>
        <patternFill patternType="none">
          <fgColor indexed="64"/>
          <bgColor indexed="65"/>
        </patternFill>
      </fill>
      <border diagonalUp="0" diagonalDown="0" outline="0">
        <left/>
        <right/>
        <top/>
        <bottom/>
      </border>
      <protection locked="0" hidden="0"/>
    </dxf>
    <dxf>
      <numFmt numFmtId="1" formatCode="0"/>
      <fill>
        <patternFill patternType="solid">
          <fgColor indexed="64"/>
          <bgColor theme="0" tint="-4.9989318521683403E-2"/>
        </patternFill>
      </fill>
      <alignment horizontal="left" vertical="center" textRotation="0" wrapText="0" indent="1" justifyLastLine="0" shrinkToFit="0" readingOrder="0"/>
      <protection locked="0" hidden="0"/>
    </dxf>
    <dxf>
      <protection locked="0" hidden="0"/>
    </dxf>
    <dxf>
      <fill>
        <patternFill patternType="solid">
          <fgColor indexed="64"/>
          <bgColor theme="0" tint="-4.9989318521683403E-2"/>
        </patternFill>
      </fill>
      <alignment horizontal="left" vertical="center" textRotation="0" wrapText="0" indent="0" justifyLastLine="0" shrinkToFit="0" readingOrder="0"/>
      <protection locked="0" hidden="0"/>
    </dxf>
    <dxf>
      <font>
        <strike val="0"/>
        <outline val="0"/>
        <shadow val="0"/>
        <u val="none"/>
        <vertAlign val="baseline"/>
        <sz val="10"/>
        <color rgb="FFFFC000"/>
        <name val="Trebuchet MS"/>
        <scheme val="minor"/>
      </font>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9" formatCode="m/d/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66" formatCode="d/m/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font>
        <strike val="0"/>
        <outline val="0"/>
        <shadow val="0"/>
        <u val="none"/>
        <vertAlign val="baseline"/>
        <sz val="10"/>
        <color auto="1"/>
        <name val="Trebuchet MS"/>
        <scheme val="minor"/>
      </font>
      <numFmt numFmtId="165" formatCode="_ [$ETB]\ * #,##0.00_ ;_ [$ETB]\ * \-#,##0.00_ ;_ [$ETB]\ * &quot;-&quot;??_ ;_ @_ "/>
      <fill>
        <patternFill patternType="solid">
          <fgColor indexed="64"/>
          <bgColor theme="0" tint="-0.14999847407452621"/>
        </patternFill>
      </fill>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font>
        <b val="0"/>
        <i val="0"/>
        <strike val="0"/>
        <condense val="0"/>
        <extend val="0"/>
        <outline val="0"/>
        <shadow val="0"/>
        <u val="none"/>
        <vertAlign val="baseline"/>
        <sz val="10"/>
        <color theme="1" tint="0.24994659260841701"/>
        <name val="Trebuchet MS"/>
        <scheme val="minor"/>
      </font>
      <numFmt numFmtId="13"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9" formatCode="m/d/yy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strike val="0"/>
        <outline val="0"/>
        <shadow val="0"/>
        <u val="none"/>
        <vertAlign val="baseline"/>
        <sz val="10"/>
        <color theme="7" tint="-0.249977111117893"/>
        <name val="Trebuchet MS"/>
        <scheme val="minor"/>
      </font>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right" vertical="center" textRotation="0" wrapText="0" indent="2"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right" vertical="center" textRotation="0" wrapText="0" indent="2" justifyLastLine="0" shrinkToFit="0" readingOrder="0"/>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alignment horizontal="right" vertical="center" textRotation="0" wrapText="0" indent="2"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alignment horizontal="left"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alignment horizontal="left" vertical="center" textRotation="0" wrapText="0" indent="0" justifyLastLine="0" shrinkToFit="0" readingOrder="0"/>
      <protection locked="0" hidden="0"/>
    </dxf>
    <dxf>
      <numFmt numFmtId="1" formatCode="0"/>
      <fill>
        <patternFill patternType="solid">
          <fgColor indexed="64"/>
          <bgColor theme="0" tint="-0.14999847407452621"/>
        </patternFill>
      </fill>
      <border diagonalUp="0" diagonalDown="0" outline="0">
        <left/>
        <right/>
        <top/>
        <bottom/>
      </border>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alignment horizontal="left" vertical="center" textRotation="0" wrapText="0" indent="1" justifyLastLine="0" shrinkToFit="0" readingOrder="0"/>
      <protection locked="0" hidden="0"/>
    </dxf>
    <dxf>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right" vertical="center" textRotation="0" wrapText="0" indent="2"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right" vertical="center" textRotation="0" wrapText="0" indent="2" justifyLastLine="0" shrinkToFit="0" readingOrder="0"/>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alignment horizontal="right" vertical="center" textRotation="0" wrapText="0" indent="2"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alignment horizontal="left"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alignment horizontal="left" vertical="center" textRotation="0" wrapText="0" indent="0" justifyLastLine="0" shrinkToFit="0" readingOrder="0"/>
      <protection locked="0" hidden="0"/>
    </dxf>
    <dxf>
      <numFmt numFmtId="1" formatCode="0"/>
      <fill>
        <patternFill patternType="solid">
          <fgColor indexed="64"/>
          <bgColor theme="0" tint="-0.14999847407452621"/>
        </patternFill>
      </fill>
      <border diagonalUp="0" diagonalDown="0" outline="0">
        <left/>
        <right/>
        <top/>
        <bottom/>
      </border>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alignment horizontal="left" vertical="center" textRotation="0" wrapText="0" indent="1" justifyLastLine="0" shrinkToFit="0" readingOrder="0"/>
      <protection locked="0" hidden="0"/>
    </dxf>
    <dxf>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8" tint="0.79998168889431442"/>
        </patternFill>
      </fill>
      <alignment horizontal="right" vertical="center" textRotation="0" wrapText="0" indent="0" justifyLastLine="0" shrinkToFit="0" readingOrder="0"/>
      <protection locked="1" hidden="0"/>
    </dxf>
    <dxf>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8" tint="0.79998168889431442"/>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right" vertical="center" textRotation="0" wrapText="0" indent="2"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alignment horizontal="right" vertical="center" textRotation="0" wrapText="0" indent="2" justifyLastLine="0" shrinkToFit="0" readingOrder="0"/>
      <protection locked="0" hidden="0"/>
    </dxf>
    <dxf>
      <numFmt numFmtId="1" formatCode="0"/>
      <fill>
        <patternFill patternType="solid">
          <fgColor indexed="64"/>
          <bgColor theme="0" tint="-0.14999847407452621"/>
        </patternFill>
      </fill>
      <alignment horizontal="general" vertical="center" textRotation="0" wrapText="0" indent="0" justifyLastLine="0" shrinkToFit="0" readingOrder="0"/>
      <protection locked="0" hidden="0"/>
    </dxf>
    <dxf>
      <numFmt numFmtId="1" formatCode="0"/>
      <fill>
        <patternFill patternType="solid">
          <fgColor indexed="64"/>
          <bgColor theme="0" tint="-0.14999847407452621"/>
        </patternFill>
      </fill>
      <alignment horizontal="right" vertical="center" textRotation="0" wrapText="0" indent="2"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alignment horizontal="left"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left" vertical="center" textRotation="0" wrapText="0" indent="0" justifyLastLine="0" shrinkToFit="0" readingOrder="0"/>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alignment horizontal="left" vertical="center" textRotation="0" wrapText="0" indent="0" justifyLastLine="0" shrinkToFit="0" readingOrder="0"/>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0" formatCode="General"/>
      <fill>
        <patternFill patternType="solid">
          <fgColor indexed="64"/>
          <bgColor theme="0" tint="-0.14999847407452621"/>
        </patternFill>
      </fill>
      <border diagonalUp="0" diagonalDown="0" outline="0">
        <left/>
        <right/>
        <top/>
        <bottom/>
      </border>
      <protection locked="0" hidden="0"/>
    </dxf>
    <dxf>
      <numFmt numFmtId="167" formatCode="[$-409]d\-mmm\-yy;@"/>
      <fill>
        <patternFill patternType="solid">
          <fgColor indexed="64"/>
          <bgColor theme="0" tint="-0.14999847407452621"/>
        </patternFill>
      </fill>
      <alignment horizontal="left" vertical="center" textRotation="0" wrapText="0" indent="1" justifyLastLine="0" shrinkToFit="0" readingOrder="0"/>
      <protection locked="0" hidden="0"/>
    </dxf>
    <dxf>
      <fill>
        <patternFill patternType="solid">
          <fgColor indexed="64"/>
          <bgColor theme="0" tint="-0.14999847407452621"/>
        </patternFill>
      </fill>
      <protection locked="0" hidden="0"/>
    </dxf>
    <dxf>
      <font>
        <b val="0"/>
      </font>
      <numFmt numFmtId="165" formatCode="_ [$ETB]\ * #,##0.00_ ;_ [$ETB]\ * \-#,##0.00_ ;_ [$ETB]\ * &quot;-&quot;??_ ;_ @_ "/>
      <fill>
        <patternFill patternType="solid">
          <fgColor indexed="64"/>
          <bgColor theme="8" tint="0.79998168889431442"/>
        </patternFill>
      </fill>
      <alignment horizontal="right" vertical="center" textRotation="0" wrapText="0" justifyLastLine="0" shrinkToFit="0" readingOrder="0"/>
      <protection locked="1" hidden="0"/>
    </dxf>
    <dxf>
      <font>
        <b val="0"/>
        <i val="0"/>
        <strike val="0"/>
        <condense val="0"/>
        <extend val="0"/>
        <outline val="0"/>
        <shadow val="0"/>
        <u val="none"/>
        <vertAlign val="baseline"/>
        <sz val="10"/>
        <color theme="1" tint="0.24994659260841701"/>
        <name val="Trebuchet MS"/>
        <scheme val="minor"/>
      </font>
      <numFmt numFmtId="165" formatCode="_ [$ETB]\ * #,##0.00_ ;_ [$ETB]\ * \-#,##0.00_ ;_ [$ETB]\ * &quot;-&quot;??_ ;_ @_ "/>
      <fill>
        <patternFill patternType="solid">
          <fgColor indexed="64"/>
          <bgColor theme="8" tint="0.79998168889431442"/>
        </patternFill>
      </fill>
      <alignment horizontal="right" vertical="center" textRotation="0" wrapText="0" indent="2" justifyLastLine="0" shrinkToFit="0" readingOrder="0"/>
      <protection locked="1"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alignment horizontal="general" vertical="center" textRotation="0" wrapText="0" indent="0" justifyLastLine="0" shrinkToFit="0" readingOrder="0"/>
      <protection locked="0" hidden="0"/>
    </dxf>
    <dxf>
      <numFmt numFmtId="165" formatCode="_ [$ETB]\ * #,##0.00_ ;_ [$ETB]\ * \-#,##0.00_ ;_ [$ETB]\ * &quot;-&quot;??_ ;_ @_ "/>
      <fill>
        <patternFill patternType="solid">
          <fgColor indexed="64"/>
          <bgColor theme="0" tint="-0.14999847407452621"/>
        </patternFill>
      </fill>
      <protection locked="0" hidden="0"/>
    </dxf>
    <dxf>
      <numFmt numFmtId="1" formatCode="0"/>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165" formatCode="_ [$ETB]\ * #,##0.00_ ;_ [$ETB]\ * \-#,##0.00_ ;_ [$ETB]\ * &quot;-&quot;??_ ;_ @_ "/>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numFmt numFmtId="0" formatCode="General"/>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numFmt numFmtId="1" formatCode="0"/>
      <fill>
        <patternFill patternType="solid">
          <fgColor indexed="64"/>
          <bgColor theme="0" tint="-0.14999847407452621"/>
        </patternFill>
      </fill>
      <alignment horizontal="left" vertical="center" textRotation="0" wrapText="0" indent="1" justifyLastLine="0" shrinkToFit="0" readingOrder="0"/>
      <protection locked="0" hidden="0"/>
    </dxf>
    <dxf>
      <numFmt numFmtId="167" formatCode="[$-409]d\-mmm\-yy;@"/>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patternType="solid">
          <fgColor indexed="64"/>
          <bgColor theme="0" tint="-0.14999847407452621"/>
        </patternFill>
      </fill>
      <protection locked="0" hidden="0"/>
    </dxf>
    <dxf>
      <fill>
        <patternFill>
          <bgColor theme="0"/>
        </patternFill>
      </fill>
    </dxf>
    <dxf>
      <fill>
        <patternFill>
          <bgColor theme="0"/>
        </patternFill>
      </fill>
    </dxf>
    <dxf>
      <fill>
        <patternFill>
          <bgColor theme="0"/>
        </patternFill>
      </fill>
    </dxf>
    <dxf>
      <fill>
        <patternFill>
          <bgColor rgb="FFEAEAEA"/>
        </patternFill>
      </fill>
    </dxf>
    <dxf>
      <fill>
        <patternFill>
          <bgColor theme="0"/>
        </patternFill>
      </fill>
    </dxf>
    <dxf>
      <font>
        <b/>
        <i val="0"/>
        <color theme="1" tint="0.24994659260841701"/>
      </font>
      <fill>
        <patternFill patternType="solid">
          <fgColor theme="4" tint="0.79992065187536243"/>
          <bgColor theme="0"/>
        </patternFill>
      </fill>
      <border diagonalUp="0" diagonalDown="0">
        <left/>
        <right/>
        <top style="medium">
          <color theme="3" tint="0.39988402966399123"/>
        </top>
        <bottom/>
        <vertical/>
        <horizontal/>
      </border>
    </dxf>
    <dxf>
      <font>
        <b val="0"/>
        <i val="0"/>
        <color theme="5"/>
      </font>
      <fill>
        <patternFill patternType="solid">
          <fgColor theme="4" tint="0.79995117038483843"/>
          <bgColor theme="0"/>
        </patternFill>
      </fill>
      <border diagonalUp="0" diagonalDown="0">
        <left/>
        <right/>
        <top/>
        <bottom style="medium">
          <color theme="3" tint="0.39994506668294322"/>
        </bottom>
        <vertical/>
        <horizontal/>
      </border>
    </dxf>
    <dxf>
      <fill>
        <patternFill>
          <bgColor theme="0"/>
        </patternFill>
      </fill>
      <border>
        <horizontal style="thin">
          <color theme="0" tint="-4.9989318521683403E-2"/>
        </horizontal>
      </border>
    </dxf>
    <dxf>
      <font>
        <b/>
        <i val="0"/>
        <color theme="6"/>
      </font>
      <fill>
        <patternFill patternType="solid">
          <bgColor rgb="FFEAEAEA"/>
        </patternFill>
      </fill>
      <border>
        <vertical/>
        <horizontal style="thin">
          <color theme="0" tint="-4.9989318521683403E-2"/>
        </horizontal>
      </border>
    </dxf>
    <dxf>
      <font>
        <b val="0"/>
        <i val="0"/>
        <color theme="1" tint="0.24994659260841701"/>
      </font>
      <fill>
        <patternFill patternType="solid">
          <bgColor theme="0"/>
        </patternFill>
      </fill>
      <border diagonalUp="0" diagonalDown="0">
        <left/>
        <right/>
        <top style="double">
          <color theme="1" tint="0.24994659260841701"/>
        </top>
        <bottom/>
        <vertical/>
        <horizontal/>
      </border>
    </dxf>
    <dxf>
      <font>
        <b val="0"/>
        <i val="0"/>
        <color theme="6"/>
      </font>
      <fill>
        <patternFill patternType="solid">
          <bgColor theme="0"/>
        </patternFill>
      </fill>
      <border diagonalUp="0" diagonalDown="0">
        <left/>
        <right/>
        <top/>
        <bottom style="medium">
          <color theme="3" tint="0.39994506668294322"/>
        </bottom>
        <vertical/>
        <horizontal/>
      </border>
    </dxf>
    <dxf>
      <font>
        <b val="0"/>
        <i val="0"/>
        <color theme="1" tint="0.24994659260841701"/>
      </font>
      <fill>
        <patternFill patternType="solid">
          <bgColor theme="0"/>
        </patternFill>
      </fill>
      <border diagonalUp="0" diagonalDown="0">
        <left/>
        <right/>
        <top/>
        <bottom style="medium">
          <color theme="3" tint="0.39994506668294322"/>
        </bottom>
        <vertical/>
        <horizontal style="thin">
          <color theme="0" tint="-4.9989318521683403E-2"/>
        </horizontal>
      </border>
    </dxf>
  </dxfs>
  <tableStyles count="2" defaultTableStyle="Cash Register Sales" defaultPivotStyle="Sales Report">
    <tableStyle name="Cash Register Sales" pivot="0" count="4">
      <tableStyleElement type="wholeTable" dxfId="1235"/>
      <tableStyleElement type="headerRow" dxfId="1234"/>
      <tableStyleElement type="totalRow" dxfId="1233"/>
      <tableStyleElement type="lastColumn" dxfId="1232"/>
    </tableStyle>
    <tableStyle name="Sales Report" table="0" count="8">
      <tableStyleElement type="wholeTable" dxfId="1231"/>
      <tableStyleElement type="headerRow" dxfId="1230"/>
      <tableStyleElement type="totalRow" dxfId="1229"/>
      <tableStyleElement type="firstColumnSubheading" dxfId="1228"/>
      <tableStyleElement type="secondColumnSubheading" dxfId="1227"/>
      <tableStyleElement type="firstRowSubheading" dxfId="1226"/>
      <tableStyleElement type="secondRowSubheading" dxfId="1225"/>
      <tableStyleElement type="thirdRowSubheading" dxfId="1224"/>
    </tableStyle>
  </tableStyles>
  <colors>
    <mruColors>
      <color rgb="FFCC9900"/>
      <color rgb="FFFFFF66"/>
      <color rgb="FFCDD2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Income</a:t>
            </a:r>
            <a:r>
              <a:rPr lang="nl-NL" baseline="0"/>
              <a:t> and profit per month</a:t>
            </a:r>
            <a:endParaRPr lang="nl-NL"/>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val>
            <c:numRef>
              <c:f>('Daily sales'!$O$19,'Daily sales'!$O$34,'Daily sales'!$O$48,'Daily sales'!$O$63,'Daily sales'!$O$69,'Daily sales'!$O$75,'Daily sales'!$O$82,'Daily sales'!$O$88,'Daily sales'!#REF!,'Daily sales'!$O$96,'Daily sales'!$O$102,'Daily sales'!#REF!,'Daily sales'!$O$110)</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BE2F-431A-BAE1-A69161DCED63}"/>
            </c:ext>
          </c:extLst>
        </c:ser>
        <c:ser>
          <c:idx val="1"/>
          <c:order val="1"/>
          <c:spPr>
            <a:solidFill>
              <a:schemeClr val="accent2"/>
            </a:solidFill>
            <a:ln>
              <a:noFill/>
            </a:ln>
            <a:effectLst/>
          </c:spPr>
          <c:invertIfNegative val="0"/>
          <c:val>
            <c:numRef>
              <c:f>('Daily sales'!$P$19,'Daily sales'!$P$34,'Daily sales'!$P$48,'Daily sales'!$P$63,'Daily sales'!$P$69,'Daily sales'!$P$75,'Daily sales'!$P$82,'Daily sales'!$P$88,'Daily sales'!#REF!,'Daily sales'!$P$96,'Daily sales'!$P$102,'Daily sales'!#REF!,'Daily sales'!$P$110)</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BE2F-431A-BAE1-A69161DCED63}"/>
            </c:ext>
          </c:extLst>
        </c:ser>
        <c:dLbls>
          <c:showLegendKey val="0"/>
          <c:showVal val="0"/>
          <c:showCatName val="0"/>
          <c:showSerName val="0"/>
          <c:showPercent val="0"/>
          <c:showBubbleSize val="0"/>
        </c:dLbls>
        <c:gapWidth val="219"/>
        <c:overlap val="-27"/>
        <c:axId val="164272384"/>
        <c:axId val="164278272"/>
      </c:barChart>
      <c:catAx>
        <c:axId val="164272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8272"/>
        <c:crosses val="autoZero"/>
        <c:auto val="1"/>
        <c:lblAlgn val="ctr"/>
        <c:lblOffset val="100"/>
        <c:noMultiLvlLbl val="0"/>
      </c:catAx>
      <c:valAx>
        <c:axId val="16427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Monthly sales</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val>
            <c:numRef>
              <c:f>('Daily sales'!$B$19,'Daily sales'!$B$34,'Daily sales'!$B$48,'Daily sales'!$B$63,'Daily sales'!$B$69,'Daily sales'!$B$75,'Daily sales'!$B$82,'Daily sales'!$B$88,'Daily sales'!#REF!,'Daily sales'!$B$96,'Daily sales'!$B$102,'Daily sales'!#REF!,'Daily sales'!$B$110)</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DD06-4CD3-A0CC-192660ACA9FB}"/>
            </c:ext>
          </c:extLst>
        </c:ser>
        <c:dLbls>
          <c:showLegendKey val="0"/>
          <c:showVal val="0"/>
          <c:showCatName val="0"/>
          <c:showSerName val="0"/>
          <c:showPercent val="0"/>
          <c:showBubbleSize val="0"/>
        </c:dLbls>
        <c:gapWidth val="219"/>
        <c:overlap val="-27"/>
        <c:axId val="164503552"/>
        <c:axId val="164505088"/>
      </c:barChart>
      <c:catAx>
        <c:axId val="164503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088"/>
        <c:crosses val="autoZero"/>
        <c:auto val="1"/>
        <c:lblAlgn val="ctr"/>
        <c:lblOffset val="100"/>
        <c:noMultiLvlLbl val="0"/>
      </c:catAx>
      <c:valAx>
        <c:axId val="16450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Monthly</a:t>
            </a:r>
            <a:r>
              <a:rPr lang="nl-NL" baseline="0"/>
              <a:t> vast expenses</a:t>
            </a:r>
            <a:endParaRPr lang="nl-NL"/>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val>
            <c:numRef>
              <c:f>('Profit sheet'!$C$22,'Profit sheet'!$C$46,'Profit sheet'!$C$70,'Profit sheet'!$C$95,'Profit sheet'!$C$119,'Profit sheet'!$C$144,'Profit sheet'!$C$168,'Profit sheet'!$C$193,'Profit sheet'!$C$217,'Profit sheet'!$C$242,'Profit sheet'!$C$266,'Profit sheet'!$C$291,'Profit sheet'!#REF!)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25E0-412E-BBA0-A45156A66E47}"/>
            </c:ext>
          </c:extLst>
        </c:ser>
        <c:dLbls>
          <c:showLegendKey val="0"/>
          <c:showVal val="0"/>
          <c:showCatName val="0"/>
          <c:showSerName val="0"/>
          <c:showPercent val="0"/>
          <c:showBubbleSize val="0"/>
        </c:dLbls>
        <c:gapWidth val="219"/>
        <c:overlap val="-27"/>
        <c:axId val="164525568"/>
        <c:axId val="164527104"/>
      </c:barChart>
      <c:catAx>
        <c:axId val="164525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7104"/>
        <c:crosses val="autoZero"/>
        <c:auto val="1"/>
        <c:lblAlgn val="ctr"/>
        <c:lblOffset val="100"/>
        <c:noMultiLvlLbl val="0"/>
      </c:catAx>
      <c:valAx>
        <c:axId val="16452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Graphs!A1"/><Relationship Id="rId3" Type="http://schemas.openxmlformats.org/officeDocument/2006/relationships/hyperlink" Target="#'Fixed materials registration'!A1"/><Relationship Id="rId7" Type="http://schemas.openxmlformats.org/officeDocument/2006/relationships/hyperlink" Target="#'Profit sheet'!A1"/><Relationship Id="rId2" Type="http://schemas.openxmlformats.org/officeDocument/2006/relationships/hyperlink" Target="#'Daily sales'!A1"/><Relationship Id="rId1" Type="http://schemas.openxmlformats.org/officeDocument/2006/relationships/hyperlink" Target="#'Monthly sales'!A1"/><Relationship Id="rId6" Type="http://schemas.openxmlformats.org/officeDocument/2006/relationships/hyperlink" Target="#Loan!A1"/><Relationship Id="rId5" Type="http://schemas.openxmlformats.org/officeDocument/2006/relationships/hyperlink" Target="#'Raw materials'!A1"/><Relationship Id="rId4" Type="http://schemas.openxmlformats.org/officeDocument/2006/relationships/hyperlink" Target="#'Salary of employees'!A1"/></Relationships>
</file>

<file path=xl/drawings/_rels/drawing2.xml.rels><?xml version="1.0" encoding="UTF-8" standalone="yes"?>
<Relationships xmlns="http://schemas.openxmlformats.org/package/2006/relationships"><Relationship Id="rId8" Type="http://schemas.openxmlformats.org/officeDocument/2006/relationships/hyperlink" Target="#Instruction!A1"/><Relationship Id="rId3" Type="http://schemas.openxmlformats.org/officeDocument/2006/relationships/hyperlink" Target="#'Salary of employees'!A1"/><Relationship Id="rId7" Type="http://schemas.openxmlformats.org/officeDocument/2006/relationships/hyperlink" Target="#Graphs!A1"/><Relationship Id="rId2" Type="http://schemas.openxmlformats.org/officeDocument/2006/relationships/hyperlink" Target="#'Fixed materials registration'!A1"/><Relationship Id="rId1" Type="http://schemas.openxmlformats.org/officeDocument/2006/relationships/hyperlink" Target="#'Monthly sales'!A1"/><Relationship Id="rId6" Type="http://schemas.openxmlformats.org/officeDocument/2006/relationships/hyperlink" Target="#'Profit sheet'!A1"/><Relationship Id="rId5" Type="http://schemas.openxmlformats.org/officeDocument/2006/relationships/hyperlink" Target="#Loan!A1"/><Relationship Id="rId4" Type="http://schemas.openxmlformats.org/officeDocument/2006/relationships/hyperlink" Target="#'Raw materials'!A1"/></Relationships>
</file>

<file path=xl/drawings/_rels/drawing3.xml.rels><?xml version="1.0" encoding="UTF-8" standalone="yes"?>
<Relationships xmlns="http://schemas.openxmlformats.org/package/2006/relationships"><Relationship Id="rId8" Type="http://schemas.openxmlformats.org/officeDocument/2006/relationships/hyperlink" Target="#Graphs!A1"/><Relationship Id="rId3" Type="http://schemas.openxmlformats.org/officeDocument/2006/relationships/hyperlink" Target="#'Fixed materials registration'!A1"/><Relationship Id="rId7" Type="http://schemas.openxmlformats.org/officeDocument/2006/relationships/hyperlink" Target="#'Profit sheet'!A1"/><Relationship Id="rId2" Type="http://schemas.openxmlformats.org/officeDocument/2006/relationships/hyperlink" Target="#'Monthly sales'!A1"/><Relationship Id="rId1" Type="http://schemas.openxmlformats.org/officeDocument/2006/relationships/hyperlink" Target="#'Daily sales'!A1"/><Relationship Id="rId6" Type="http://schemas.openxmlformats.org/officeDocument/2006/relationships/hyperlink" Target="#Loan!A1"/><Relationship Id="rId5" Type="http://schemas.openxmlformats.org/officeDocument/2006/relationships/hyperlink" Target="#'Raw materials'!A1"/><Relationship Id="rId4" Type="http://schemas.openxmlformats.org/officeDocument/2006/relationships/hyperlink" Target="#'Salary of employees'!A1"/><Relationship Id="rId9" Type="http://schemas.openxmlformats.org/officeDocument/2006/relationships/hyperlink" Target="#Instruction!A1"/></Relationships>
</file>

<file path=xl/drawings/_rels/drawing4.xml.rels><?xml version="1.0" encoding="UTF-8" standalone="yes"?>
<Relationships xmlns="http://schemas.openxmlformats.org/package/2006/relationships"><Relationship Id="rId8" Type="http://schemas.openxmlformats.org/officeDocument/2006/relationships/hyperlink" Target="#Graphs!A1"/><Relationship Id="rId3" Type="http://schemas.openxmlformats.org/officeDocument/2006/relationships/hyperlink" Target="#'Fixed materials registration'!A1"/><Relationship Id="rId7" Type="http://schemas.openxmlformats.org/officeDocument/2006/relationships/hyperlink" Target="#'Profit sheet'!A1"/><Relationship Id="rId2" Type="http://schemas.openxmlformats.org/officeDocument/2006/relationships/hyperlink" Target="#'Monthly sales'!A1"/><Relationship Id="rId1" Type="http://schemas.openxmlformats.org/officeDocument/2006/relationships/hyperlink" Target="#'Daily sales'!A1"/><Relationship Id="rId6" Type="http://schemas.openxmlformats.org/officeDocument/2006/relationships/hyperlink" Target="#Loan!A1"/><Relationship Id="rId5" Type="http://schemas.openxmlformats.org/officeDocument/2006/relationships/hyperlink" Target="#'Raw materials'!A1"/><Relationship Id="rId4" Type="http://schemas.openxmlformats.org/officeDocument/2006/relationships/hyperlink" Target="#'Salary of employees'!A1"/><Relationship Id="rId9" Type="http://schemas.openxmlformats.org/officeDocument/2006/relationships/hyperlink" Target="#Instruction!A1"/></Relationships>
</file>

<file path=xl/drawings/_rels/drawing5.xml.rels><?xml version="1.0" encoding="UTF-8" standalone="yes"?>
<Relationships xmlns="http://schemas.openxmlformats.org/package/2006/relationships"><Relationship Id="rId8" Type="http://schemas.openxmlformats.org/officeDocument/2006/relationships/hyperlink" Target="#Graphs!A1"/><Relationship Id="rId3" Type="http://schemas.openxmlformats.org/officeDocument/2006/relationships/hyperlink" Target="#'Fixed materials registration'!A1"/><Relationship Id="rId7" Type="http://schemas.openxmlformats.org/officeDocument/2006/relationships/hyperlink" Target="#'Profit sheet'!A1"/><Relationship Id="rId2" Type="http://schemas.openxmlformats.org/officeDocument/2006/relationships/hyperlink" Target="#'Monthly sales'!A1"/><Relationship Id="rId1" Type="http://schemas.openxmlformats.org/officeDocument/2006/relationships/hyperlink" Target="#'Daily sales'!A1"/><Relationship Id="rId6" Type="http://schemas.openxmlformats.org/officeDocument/2006/relationships/hyperlink" Target="#Loan!A1"/><Relationship Id="rId5" Type="http://schemas.openxmlformats.org/officeDocument/2006/relationships/hyperlink" Target="#'Raw materials'!A1"/><Relationship Id="rId4" Type="http://schemas.openxmlformats.org/officeDocument/2006/relationships/hyperlink" Target="#'Salary of employees'!A1"/><Relationship Id="rId9" Type="http://schemas.openxmlformats.org/officeDocument/2006/relationships/hyperlink" Target="#Instruction!A1"/></Relationships>
</file>

<file path=xl/drawings/_rels/drawing6.xml.rels><?xml version="1.0" encoding="UTF-8" standalone="yes"?>
<Relationships xmlns="http://schemas.openxmlformats.org/package/2006/relationships"><Relationship Id="rId8" Type="http://schemas.openxmlformats.org/officeDocument/2006/relationships/hyperlink" Target="#Graphs!A1"/><Relationship Id="rId3" Type="http://schemas.openxmlformats.org/officeDocument/2006/relationships/hyperlink" Target="#'Fixed materials registration'!A1"/><Relationship Id="rId7" Type="http://schemas.openxmlformats.org/officeDocument/2006/relationships/hyperlink" Target="#'Profit sheet'!A1"/><Relationship Id="rId2" Type="http://schemas.openxmlformats.org/officeDocument/2006/relationships/hyperlink" Target="#'Monthly sales'!A1"/><Relationship Id="rId1" Type="http://schemas.openxmlformats.org/officeDocument/2006/relationships/hyperlink" Target="#'Daily sales'!A1"/><Relationship Id="rId6" Type="http://schemas.openxmlformats.org/officeDocument/2006/relationships/hyperlink" Target="#Loan!A1"/><Relationship Id="rId5" Type="http://schemas.openxmlformats.org/officeDocument/2006/relationships/hyperlink" Target="#'Raw materials'!A1"/><Relationship Id="rId4" Type="http://schemas.openxmlformats.org/officeDocument/2006/relationships/hyperlink" Target="#'Salary of employees'!A1"/><Relationship Id="rId9" Type="http://schemas.openxmlformats.org/officeDocument/2006/relationships/hyperlink" Target="#Instruction!A1"/></Relationships>
</file>

<file path=xl/drawings/_rels/drawing7.xml.rels><?xml version="1.0" encoding="UTF-8" standalone="yes"?>
<Relationships xmlns="http://schemas.openxmlformats.org/package/2006/relationships"><Relationship Id="rId8" Type="http://schemas.openxmlformats.org/officeDocument/2006/relationships/hyperlink" Target="#Graphs!A1"/><Relationship Id="rId3" Type="http://schemas.openxmlformats.org/officeDocument/2006/relationships/hyperlink" Target="#'Fixed materials registration'!A1"/><Relationship Id="rId7" Type="http://schemas.openxmlformats.org/officeDocument/2006/relationships/hyperlink" Target="#'Profit sheet'!A1"/><Relationship Id="rId2" Type="http://schemas.openxmlformats.org/officeDocument/2006/relationships/hyperlink" Target="#'Monthly sales'!A1"/><Relationship Id="rId1" Type="http://schemas.openxmlformats.org/officeDocument/2006/relationships/hyperlink" Target="#'Daily sales'!A1"/><Relationship Id="rId6" Type="http://schemas.openxmlformats.org/officeDocument/2006/relationships/hyperlink" Target="#Loan!A1"/><Relationship Id="rId5" Type="http://schemas.openxmlformats.org/officeDocument/2006/relationships/hyperlink" Target="#'Raw materials'!A1"/><Relationship Id="rId4" Type="http://schemas.openxmlformats.org/officeDocument/2006/relationships/hyperlink" Target="#'Salary of employees'!A1"/><Relationship Id="rId9" Type="http://schemas.openxmlformats.org/officeDocument/2006/relationships/hyperlink" Target="#Instruction!A1"/></Relationships>
</file>

<file path=xl/drawings/_rels/drawing8.xml.rels><?xml version="1.0" encoding="UTF-8" standalone="yes"?>
<Relationships xmlns="http://schemas.openxmlformats.org/package/2006/relationships"><Relationship Id="rId8" Type="http://schemas.openxmlformats.org/officeDocument/2006/relationships/hyperlink" Target="#Instruction!A1"/><Relationship Id="rId3" Type="http://schemas.openxmlformats.org/officeDocument/2006/relationships/hyperlink" Target="#'Fixed materials registration'!A1"/><Relationship Id="rId7" Type="http://schemas.openxmlformats.org/officeDocument/2006/relationships/hyperlink" Target="#Graphs!A1"/><Relationship Id="rId2" Type="http://schemas.openxmlformats.org/officeDocument/2006/relationships/hyperlink" Target="#'Monthly sales'!A1"/><Relationship Id="rId1" Type="http://schemas.openxmlformats.org/officeDocument/2006/relationships/hyperlink" Target="#'Daily sales'!A1"/><Relationship Id="rId6" Type="http://schemas.openxmlformats.org/officeDocument/2006/relationships/hyperlink" Target="#Loan!A1"/><Relationship Id="rId5" Type="http://schemas.openxmlformats.org/officeDocument/2006/relationships/hyperlink" Target="#'Raw materials'!A1"/><Relationship Id="rId4" Type="http://schemas.openxmlformats.org/officeDocument/2006/relationships/hyperlink" Target="#'Salary of employees'!A1"/></Relationships>
</file>

<file path=xl/drawings/_rels/drawing9.xml.rels><?xml version="1.0" encoding="UTF-8" standalone="yes"?>
<Relationships xmlns="http://schemas.openxmlformats.org/package/2006/relationships"><Relationship Id="rId8" Type="http://schemas.openxmlformats.org/officeDocument/2006/relationships/hyperlink" Target="#'Profit sheet'!A1"/><Relationship Id="rId3" Type="http://schemas.openxmlformats.org/officeDocument/2006/relationships/hyperlink" Target="#'Fixed materials registration'!A1"/><Relationship Id="rId7" Type="http://schemas.openxmlformats.org/officeDocument/2006/relationships/hyperlink" Target="#Graphs!A1"/><Relationship Id="rId12" Type="http://schemas.openxmlformats.org/officeDocument/2006/relationships/chart" Target="../charts/chart3.xml"/><Relationship Id="rId2" Type="http://schemas.openxmlformats.org/officeDocument/2006/relationships/hyperlink" Target="#'Monthly sales'!A1"/><Relationship Id="rId1" Type="http://schemas.openxmlformats.org/officeDocument/2006/relationships/hyperlink" Target="#'Daily sales'!A1"/><Relationship Id="rId6" Type="http://schemas.openxmlformats.org/officeDocument/2006/relationships/hyperlink" Target="#Loan!A1"/><Relationship Id="rId11" Type="http://schemas.openxmlformats.org/officeDocument/2006/relationships/chart" Target="../charts/chart2.xml"/><Relationship Id="rId5" Type="http://schemas.openxmlformats.org/officeDocument/2006/relationships/hyperlink" Target="#'Raw materials'!A1"/><Relationship Id="rId10" Type="http://schemas.openxmlformats.org/officeDocument/2006/relationships/chart" Target="../charts/chart1.xml"/><Relationship Id="rId4" Type="http://schemas.openxmlformats.org/officeDocument/2006/relationships/hyperlink" Target="#'Salary of employees'!A1"/><Relationship Id="rId9" Type="http://schemas.openxmlformats.org/officeDocument/2006/relationships/hyperlink" Target="#Instruction!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219075</xdr:colOff>
      <xdr:row>172</xdr:row>
      <xdr:rowOff>38100</xdr:rowOff>
    </xdr:to>
    <xdr:sp macro="" textlink="">
      <xdr:nvSpPr>
        <xdr:cNvPr id="3" name="Tekstvak 2"/>
        <xdr:cNvSpPr txBox="1"/>
      </xdr:nvSpPr>
      <xdr:spPr>
        <a:xfrm>
          <a:off x="0" y="0"/>
          <a:ext cx="10506075" cy="328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 The administration system</a:t>
          </a:r>
        </a:p>
        <a:p>
          <a:endParaRPr lang="nl-NL" sz="1100" b="1">
            <a:solidFill>
              <a:schemeClr val="dk1"/>
            </a:solidFill>
            <a:effectLst/>
            <a:latin typeface="+mn-lt"/>
            <a:ea typeface="+mn-ea"/>
            <a:cs typeface="+mn-cs"/>
          </a:endParaRPr>
        </a:p>
        <a:p>
          <a:r>
            <a:rPr lang="en-US" sz="1100" b="1">
              <a:solidFill>
                <a:schemeClr val="dk1"/>
              </a:solidFill>
              <a:effectLst/>
              <a:latin typeface="+mn-lt"/>
              <a:ea typeface="+mn-ea"/>
              <a:cs typeface="+mn-cs"/>
            </a:rPr>
            <a:t>1.1 Purpose of the administration system</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administration system is designed to have a proper overview about your incomes and costs. In this will know on every moment how much you have earned over a specific time and what kind of costs you can expect in the future. Besides the fact that it gives the company an easy overview, you can also show financial institutions and other parties in an fast way the company’s results.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1.2 Software for the administration system</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administration system is designed in a software program, called Microsoft Excel. Microsoft Excel is an easy application used for the (small) administration of companies and individuals. In Microsoft Excel you can work with so called templates, pre-designed sheets with information. Excel can also make calculations automatically, so you don’t have to do this all the time and your information is always up-to-date.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1.3 The design of the administration system</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template used for the administration system consists of different sheets. Those sheets are listed in the top of the document and are called: Instruction, Daily sales, Monthly sales, Fixed material registration, Salary of employees, Raw materials, Loan, Profit sheet and Graphs. Also the system should be step-wise filled in in this manner. In this way, the last sheet gives the profit of the administrated month. The first sheet</a:t>
          </a:r>
          <a:r>
            <a:rPr lang="en-US" sz="1100" baseline="0">
              <a:solidFill>
                <a:schemeClr val="dk1"/>
              </a:solidFill>
              <a:effectLst/>
              <a:latin typeface="+mn-lt"/>
              <a:ea typeface="+mn-ea"/>
              <a:cs typeface="+mn-cs"/>
            </a:rPr>
            <a:t> is this sheet, the instruction sheet. In this sheet you can click on every header to be linked to the sheet.</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Excel sheets are based out of cells, columns and rows. A cell is one particular square where you can add data. A column is all the vertical cells. A row are all the horizontal cells. The columns are labeled in alphabetical order, A-Z. The rows are numerical labeled. This means that to every particular cell can be referenced with a letter and a number. For example, the top left upper cell is A1.</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In the template you will only have to add sometimes a row, to add an extra sale of expense. You can do this by clicking with the right side of the mouse on the number of row where you want to add one </a:t>
          </a:r>
          <a:r>
            <a:rPr lang="en-US" sz="1100" b="1">
              <a:solidFill>
                <a:schemeClr val="dk1"/>
              </a:solidFill>
              <a:effectLst/>
              <a:latin typeface="+mn-lt"/>
              <a:ea typeface="+mn-ea"/>
              <a:cs typeface="+mn-cs"/>
            </a:rPr>
            <a:t>above</a:t>
          </a:r>
          <a:r>
            <a:rPr lang="en-US" sz="1100">
              <a:solidFill>
                <a:schemeClr val="dk1"/>
              </a:solidFill>
              <a:effectLst/>
              <a:latin typeface="+mn-lt"/>
              <a:ea typeface="+mn-ea"/>
              <a:cs typeface="+mn-cs"/>
            </a:rPr>
            <a:t>. Then click insert. The calculations in every column will still be the same.</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In Excel a lot of calculations can be automatically be done by the software itself. Therefore when a column is marked in light blue, it means that this calculation will be done by the software or that it takes the data from another sheet. In this manual it will be said so if this is the matter.</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2. The administration system explained</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In this chapter, every part of the different sheets will be explained step-by-step. Therefore all the different headers are known by you and you will know what you have to fill in and what Excel will calculate for you.</a:t>
          </a:r>
        </a:p>
        <a:p>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 Daily sales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sheet consist of several headers, namely: DATE, No., Description, Customer segment, Provided service, Used materials, Costs for materials, Selling price materials, Hours of work, Other expenses, Description of the other expenses, Labor income, Total price and Total profit. Every column has one header and therefore meaning. Every row is a sale. Finally the sum of every column is calculated under TOTAL. This will be atomically be done by Excel.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 DATE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Under this header you fill in the date when you served the service to the customer. This has to be filled in like: dd-mm-yyyy. Another option is not possible.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2.1.2 No.</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Every service should be numbered, this to make it easier for further actions. So start by number one and never give the same number to a different service.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2.1.3 Description</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Explain in a couple of words what service you have given. This to remember for yourself afterwards what have been done to this customer.</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2.1.4 Customer segment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For this question there are several options possible: WASHOCo, SchoolWASH, HealthWASH, Farmer and other individual. You can chose between those by clicking on the cell and then click on the arrow. You will get a list with those different options.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2.1.5 Provided service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There are a couple of probable services you could have given to the customer, namely: replacement, maintenance or new installation  You can chose between those by clicking on the cell and then click on the arrow. You will get a list with those different options.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2.1.6 Used materials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materials you have sold to the customer to give the service to the water point..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2.1.7 Costs for materials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amount of money you have paid in ETB for the materials that you have used to give the service to the customer</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2.1.8 Selling price materials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amount of money in ETB that the customer have paid you for the materials to give the service.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2.1.9 Hours of work</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hours of work that was needed to give the service to the customer</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2.1.10 Other expenses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other expenses which were needed to give the service. Note: don’t write down the raw materials and fixed materials depreciation. So only the materials you used specifically only for this service.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2.1.11 Description of other expenses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what kind of other expenses where needed to give the service to the customer</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2.1.12 Labor income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salary you asked for the hours of work you put in to give the service to the customer</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2.1.13 Total price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price will be automatically calculated by Excel and is the price that the customer should have paid you.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2.1.14 Paid in cash</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money that is directly paid by the customer in cash towards you.</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2.1.15 Credit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money you still need to get from the customer for your service.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2.1.16 Total profit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number is automatically calculated and shows you how much profit you made on your sales in the specific period.</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2.2 Monthly sales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sheet is mostly a short summary of the daily sales. Therefore, most of the cells are automatically filled in. This sheet consists of the following headers: DATE, No., total sales and total profit. It is important</a:t>
          </a:r>
          <a:r>
            <a:rPr lang="en-US" sz="1100" baseline="0">
              <a:solidFill>
                <a:schemeClr val="dk1"/>
              </a:solidFill>
              <a:effectLst/>
              <a:latin typeface="+mn-lt"/>
              <a:ea typeface="+mn-ea"/>
              <a:cs typeface="+mn-cs"/>
            </a:rPr>
            <a:t> to insert a new row in this sheet at the place where you also did it in the daily sales sheet. The data will be automatically updated then.</a:t>
          </a:r>
          <a:endParaRPr lang="en-US" sz="1100">
            <a:solidFill>
              <a:schemeClr val="dk1"/>
            </a:solidFill>
            <a:effectLst/>
            <a:latin typeface="+mn-lt"/>
            <a:ea typeface="+mn-ea"/>
            <a:cs typeface="+mn-cs"/>
          </a:endParaRPr>
        </a:p>
        <a:p>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2.2.1 DATE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will be atomically filled in with the data from the Daily sales sheet. If there isn’t anything filled in the cell will be filled with the date 0-1-1900. This is automatically done.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2.2.2 No.</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will also be automatically filled in and shows you the sales number, which is easy to use for checking and corresponding.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2.2.3 Total sales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total sales consist of three columns: In cash, Credit &amp; Total income. All those three columns are directly filled in by the data on the previous sheet</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2.2.4 Total profit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is the final column and shows how much profit you have made. This is also calculated by the data from the previous sheet.</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 Fixed materials registration</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In this sheet you write down the fixed materials of the company. Those are materials like a motorbike, generator or machine. But this is also for example a broom. Everything fixed material that is bought for the company and that cannot be directly assigned to a customer service should be written down here. This sheet consists of the following headers: Purchase year, No. Material type, Purchase cost, Depreciation year, Rest value, Total depreciation costs and Monthly depreciation costs.</a:t>
          </a:r>
        </a:p>
        <a:p>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2.3.1 Purchase year</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year when you have bought the fixed material.</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2.3.2 No.</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specific number you have assigned to the fixed material. An advice is to give this number for example two or three decimals to distinguish is easily from the daily sales.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2.3.3 Material type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description of the fixed material</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2.3.4 Purchase cost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money the fixed material costed when purchased in ETB</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2.3.5 Depreciation year</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year where you expect that the machine cannot or will not be used by your company and either will be sold or removed from the company.</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2.3.6 Rest value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If the expectation is that the fixed material, or parts of it, will be sold, write the rest value down here.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2.3.7 Total depreciation costs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will be automatically filled in with the calculation of the purchase cost – the rest value.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2.3.8 Monthly depreciation costs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is the finally costs that you monthly have to depreciate for the fixed materials. This will automatically be calculated by the total depreciation costs / ((depreciation year – purchase year) / 12). This number total number will be further taken to the profit sheet.</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 Salary of employees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In this sheet the salary and external labor costs of the company are written down. This sheet consists of the following headers: Date of payment, No. Name of employee, Type of job, Salary or labor costs, TAXES in % and total payment.</a:t>
          </a:r>
        </a:p>
        <a:p>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2.4.1 Date of payment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date when you paid the employees and hired labor. Preferably do this payment every end or beginning of the month on the same day. This helps to give you more insight in the administration.</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2.4.2 No.</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Also this transaction has to be given a number for further administration. Preferably take another starting number with a couple of decimals for this whole sheet.</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2.4.3 Name of employee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name of the employee/company you paid the salary/labor costs.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2.4.4 Type of job</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type of job this employee/labor has.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2.4.5 Salary or labor costs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salary/labor costs the employee earns from you.</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2.4.6 TAXES in %</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percentage of taxes you have to pay over the salary or labor costs to the employee/company.</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2.4.7 Total payment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is calculated automatically and shows you the total amount of money you have to pay with taxes included. This total amount will be also used for the final profit sheet.</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2.5 Raw materials registration</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In this sheet you write down the raw materials of the company. Those are materials like oil, soap etc. Materials that are bought for the company and finish. This can also not be assigned to one exact customers service. Otherwise it would be in the daily sales sheet. This sheet consists of the following headers: Purchase month and year, No., Material type, purchase cost, depreciation year, Rest value, Total depreciation costs and Monthly depreciation costs.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2.5.1 Purchase month and year</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year when you have bought the fixed material.</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2.5.2 No.</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specific number you have assigned to the raw material. An advice is to give this number for example two or three decimals to distinguish is easily from the daily sales.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2.5.3 Material type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description of the raw material</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2.5.4 Purchase cost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money the raw material costed when purchased in ETB</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2.3.5 Depreciation year</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year where you expect that the raw material cannot or will not be used by your company and either will be sold, not used anymore or is empty.</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2.3.6 Rest value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If the expectation is that the raw material, or parts of it, will be sold, write the rest value down here.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2.3.7 Total depreciation costs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will be automatically filled in with the calculation of the purchase cost – the rest value.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2.3.8 Monthly depreciation costs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is the finally costs that you monthly have to depreciate for the raw materials. This will automatically be calculated by the total depreciation costs / ((depreciation year – purchase year) / 12). This number total number will be further taken to the profit sheet.</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nl-NL" sz="1100" b="1">
            <a:solidFill>
              <a:schemeClr val="dk1"/>
            </a:solidFill>
            <a:effectLst/>
            <a:latin typeface="+mn-lt"/>
            <a:ea typeface="+mn-ea"/>
            <a:cs typeface="+mn-cs"/>
          </a:endParaRPr>
        </a:p>
        <a:p>
          <a:r>
            <a:rPr lang="en-US" sz="1100" b="1">
              <a:solidFill>
                <a:schemeClr val="dk1"/>
              </a:solidFill>
              <a:effectLst/>
              <a:latin typeface="+mn-lt"/>
              <a:ea typeface="+mn-ea"/>
              <a:cs typeface="+mn-cs"/>
            </a:rPr>
            <a:t>2.6 Loan</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sheet consists of the amount of borrowed money what is in year company. This can either be from an institution like a bank or a personal loan from a relative. The sheet consists of the following headers: Date of payment, description, No., Amount of loan, Interest, Paid, Remaining and Motnhly payment.</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Not sure exactly about how the system works over here with loans and how to make the calculation. I need to check this with DOT/SNV</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2.6.1 Date of payment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Fill in the date of payment of the loan to the bank/financial institution.</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2.6.2 Description</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description of the loan.</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2.6.3 No.</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Write down the specific number you have assigned to the loan. An advice is to give this number for example two or three decimals to distinguish is easily from the other sheets.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2.6.4 Amount of loan</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loan you loaned from the institution in ETB.</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2.6.5 Interest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percentage of interest you have to pay over the total loan.</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2.6.6 Paid</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loan you have already paid back to the institution</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2.6.7 Remaining</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remaining amount you still have to pay to the institution. This amount will be automatically calculated by the amount of loan – the paid amount.</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2.6.8 Monthly payment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money in ETB you have to pay to the institution/individual. This consists of the payment and interest.</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 Profit sheet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profit sheet is the final sheet of the administration system. This defines if you company made a profit or loss in the administrated period. This sheet is in fact a summary of all the other sheets and calculates the incomes and expenses to calculate the final profit. This sheet consist there for out of two parts: the sales and the expenses. The sales data is the same sheet as the monthly sales sheet.</a:t>
          </a:r>
          <a:r>
            <a:rPr lang="en-US" sz="1100" baseline="0">
              <a:solidFill>
                <a:schemeClr val="dk1"/>
              </a:solidFill>
              <a:effectLst/>
              <a:latin typeface="+mn-lt"/>
              <a:ea typeface="+mn-ea"/>
              <a:cs typeface="+mn-cs"/>
            </a:rPr>
            <a:t> This means also that you have to add an extra row whenever you did this aswell in the Daily and Monthly sales sheet. The data will be automatically added then.</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2.7.1 DATE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will be atomically filled in with the data from the Daily sales sheet. If there isn’t anything filled in the cell will be filled with the date 0-1-1900. This is automatically done.</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2.7.2 No.</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will also be atomically filled in and shows you the sales number, which is easy to use for checking and corresponding.</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2.7.3 Total Sales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total sales consist of three columns: In cash, Credit &amp; Total income. All those three columns are directly filled in by the sheet of daily sales.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2.7.4 Total profit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is the final column and shows how much profit you have made. This is also calculated by the data from the previous sheet.</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2.7.5 Type</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This column consist of the kind of expense it is. This can either be a depreciation, salary or loan. This will be filled in automatically by the previous sheets</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2.7.6 Total expenses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The amount of money of the expenses from the past period are showed here. There are three different collumns, namely: In cash, Debit and Total.</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2.7.7 Profit</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In this final cell the profit (or loss) over the past period is shown in ETB.</a:t>
          </a:r>
          <a:endParaRPr lang="nl-NL"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nl-NL" sz="1100">
            <a:solidFill>
              <a:schemeClr val="dk1"/>
            </a:solidFill>
            <a:effectLst/>
            <a:latin typeface="+mn-lt"/>
            <a:ea typeface="+mn-ea"/>
            <a:cs typeface="+mn-cs"/>
          </a:endParaRPr>
        </a:p>
        <a:p>
          <a:r>
            <a:rPr lang="en-US" sz="1100" b="1">
              <a:solidFill>
                <a:schemeClr val="dk1"/>
              </a:solidFill>
              <a:effectLst/>
              <a:latin typeface="+mn-lt"/>
              <a:ea typeface="+mn-ea"/>
              <a:cs typeface="+mn-cs"/>
            </a:rPr>
            <a:t>2.8 Graphs</a:t>
          </a:r>
          <a:endParaRPr lang="nl-NL" sz="1100" b="1">
            <a:solidFill>
              <a:schemeClr val="dk1"/>
            </a:solidFill>
            <a:effectLst/>
            <a:latin typeface="+mn-lt"/>
            <a:ea typeface="+mn-ea"/>
            <a:cs typeface="+mn-cs"/>
          </a:endParaRPr>
        </a:p>
        <a:p>
          <a:r>
            <a:rPr lang="en-US" sz="1100">
              <a:solidFill>
                <a:schemeClr val="dk1"/>
              </a:solidFill>
              <a:effectLst/>
              <a:latin typeface="+mn-lt"/>
              <a:ea typeface="+mn-ea"/>
              <a:cs typeface="+mn-cs"/>
            </a:rPr>
            <a:t>In the final sheets are graphs showed which immediately shows you the amount of waterpoints maintained or drilled, amount of profit,</a:t>
          </a:r>
          <a:r>
            <a:rPr lang="en-US" sz="1100" baseline="0">
              <a:solidFill>
                <a:schemeClr val="dk1"/>
              </a:solidFill>
              <a:effectLst/>
              <a:latin typeface="+mn-lt"/>
              <a:ea typeface="+mn-ea"/>
              <a:cs typeface="+mn-cs"/>
            </a:rPr>
            <a:t> amount of income and the amount of vast expenses. This to give you a fast view on the data.</a:t>
          </a:r>
          <a:endParaRPr lang="nl-NL" sz="1100">
            <a:solidFill>
              <a:schemeClr val="dk1"/>
            </a:solidFill>
            <a:effectLst/>
            <a:latin typeface="+mn-lt"/>
            <a:ea typeface="+mn-ea"/>
            <a:cs typeface="+mn-cs"/>
          </a:endParaRPr>
        </a:p>
      </xdr:txBody>
    </xdr:sp>
    <xdr:clientData/>
  </xdr:twoCellAnchor>
  <xdr:twoCellAnchor>
    <xdr:from>
      <xdr:col>0</xdr:col>
      <xdr:colOff>0</xdr:colOff>
      <xdr:row>57</xdr:row>
      <xdr:rowOff>20807</xdr:rowOff>
    </xdr:from>
    <xdr:to>
      <xdr:col>2</xdr:col>
      <xdr:colOff>466725</xdr:colOff>
      <xdr:row>58</xdr:row>
      <xdr:rowOff>94130</xdr:rowOff>
    </xdr:to>
    <xdr:sp macro="" textlink="">
      <xdr:nvSpPr>
        <xdr:cNvPr id="4" name="Rectangle 22">
          <a:hlinkClick xmlns:r="http://schemas.openxmlformats.org/officeDocument/2006/relationships" r:id="rId1"/>
        </xdr:cNvPr>
        <xdr:cNvSpPr/>
      </xdr:nvSpPr>
      <xdr:spPr>
        <a:xfrm>
          <a:off x="0" y="10879307"/>
          <a:ext cx="1676960" cy="263823"/>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2.2Monthly</a:t>
          </a:r>
          <a:r>
            <a:rPr lang="en-US" sz="1400" b="1" baseline="0">
              <a:solidFill>
                <a:schemeClr val="bg1"/>
              </a:solidFill>
            </a:rPr>
            <a:t> sales</a:t>
          </a:r>
          <a:endParaRPr lang="en-US" sz="1400" b="1">
            <a:solidFill>
              <a:schemeClr val="bg1"/>
            </a:solidFill>
          </a:endParaRPr>
        </a:p>
      </xdr:txBody>
    </xdr:sp>
    <xdr:clientData/>
  </xdr:twoCellAnchor>
  <xdr:twoCellAnchor>
    <xdr:from>
      <xdr:col>0</xdr:col>
      <xdr:colOff>0</xdr:colOff>
      <xdr:row>22</xdr:row>
      <xdr:rowOff>152400</xdr:rowOff>
    </xdr:from>
    <xdr:to>
      <xdr:col>2</xdr:col>
      <xdr:colOff>352425</xdr:colOff>
      <xdr:row>24</xdr:row>
      <xdr:rowOff>28575</xdr:rowOff>
    </xdr:to>
    <xdr:sp macro="" textlink="">
      <xdr:nvSpPr>
        <xdr:cNvPr id="5" name="Rectangle 22">
          <a:hlinkClick xmlns:r="http://schemas.openxmlformats.org/officeDocument/2006/relationships" r:id="rId2"/>
        </xdr:cNvPr>
        <xdr:cNvSpPr/>
      </xdr:nvSpPr>
      <xdr:spPr>
        <a:xfrm>
          <a:off x="0" y="4343400"/>
          <a:ext cx="1571625" cy="257175"/>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2.1 Daily sales</a:t>
          </a:r>
        </a:p>
      </xdr:txBody>
    </xdr:sp>
    <xdr:clientData/>
  </xdr:twoCellAnchor>
  <xdr:twoCellAnchor>
    <xdr:from>
      <xdr:col>0</xdr:col>
      <xdr:colOff>0</xdr:colOff>
      <xdr:row>70</xdr:row>
      <xdr:rowOff>179296</xdr:rowOff>
    </xdr:from>
    <xdr:to>
      <xdr:col>4</xdr:col>
      <xdr:colOff>448235</xdr:colOff>
      <xdr:row>72</xdr:row>
      <xdr:rowOff>54632</xdr:rowOff>
    </xdr:to>
    <xdr:sp macro="" textlink="">
      <xdr:nvSpPr>
        <xdr:cNvPr id="6" name="Rectangle 22">
          <a:hlinkClick xmlns:r="http://schemas.openxmlformats.org/officeDocument/2006/relationships" r:id="rId3"/>
        </xdr:cNvPr>
        <xdr:cNvSpPr/>
      </xdr:nvSpPr>
      <xdr:spPr>
        <a:xfrm>
          <a:off x="0" y="13514296"/>
          <a:ext cx="2868706" cy="256336"/>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2.3 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0</xdr:col>
      <xdr:colOff>1</xdr:colOff>
      <xdr:row>92</xdr:row>
      <xdr:rowOff>11208</xdr:rowOff>
    </xdr:from>
    <xdr:to>
      <xdr:col>3</xdr:col>
      <xdr:colOff>504266</xdr:colOff>
      <xdr:row>93</xdr:row>
      <xdr:rowOff>98101</xdr:rowOff>
    </xdr:to>
    <xdr:sp macro="" textlink="">
      <xdr:nvSpPr>
        <xdr:cNvPr id="7" name="Rectangle 22">
          <a:hlinkClick xmlns:r="http://schemas.openxmlformats.org/officeDocument/2006/relationships" r:id="rId4"/>
        </xdr:cNvPr>
        <xdr:cNvSpPr/>
      </xdr:nvSpPr>
      <xdr:spPr>
        <a:xfrm>
          <a:off x="1" y="17537208"/>
          <a:ext cx="2319618" cy="277393"/>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2.4 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0</xdr:col>
      <xdr:colOff>0</xdr:colOff>
      <xdr:row>110</xdr:row>
      <xdr:rowOff>44824</xdr:rowOff>
    </xdr:from>
    <xdr:to>
      <xdr:col>3</xdr:col>
      <xdr:colOff>313765</xdr:colOff>
      <xdr:row>111</xdr:row>
      <xdr:rowOff>89649</xdr:rowOff>
    </xdr:to>
    <xdr:sp macro="" textlink="">
      <xdr:nvSpPr>
        <xdr:cNvPr id="8" name="Rectangle 22">
          <a:hlinkClick xmlns:r="http://schemas.openxmlformats.org/officeDocument/2006/relationships" r:id="rId5"/>
        </xdr:cNvPr>
        <xdr:cNvSpPr/>
      </xdr:nvSpPr>
      <xdr:spPr>
        <a:xfrm>
          <a:off x="0" y="20999824"/>
          <a:ext cx="2129118" cy="235325"/>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2.5 Raw materials</a:t>
          </a:r>
        </a:p>
      </xdr:txBody>
    </xdr:sp>
    <xdr:clientData/>
  </xdr:twoCellAnchor>
  <xdr:twoCellAnchor>
    <xdr:from>
      <xdr:col>0</xdr:col>
      <xdr:colOff>0</xdr:colOff>
      <xdr:row>129</xdr:row>
      <xdr:rowOff>134472</xdr:rowOff>
    </xdr:from>
    <xdr:to>
      <xdr:col>2</xdr:col>
      <xdr:colOff>214886</xdr:colOff>
      <xdr:row>131</xdr:row>
      <xdr:rowOff>46151</xdr:rowOff>
    </xdr:to>
    <xdr:sp macro="" textlink="">
      <xdr:nvSpPr>
        <xdr:cNvPr id="9" name="Rectangle 22">
          <a:hlinkClick xmlns:r="http://schemas.openxmlformats.org/officeDocument/2006/relationships" r:id="rId6"/>
        </xdr:cNvPr>
        <xdr:cNvSpPr/>
      </xdr:nvSpPr>
      <xdr:spPr>
        <a:xfrm>
          <a:off x="0" y="24708972"/>
          <a:ext cx="1425121" cy="292679"/>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2.6 Loan</a:t>
          </a:r>
        </a:p>
      </xdr:txBody>
    </xdr:sp>
    <xdr:clientData/>
  </xdr:twoCellAnchor>
  <xdr:twoCellAnchor>
    <xdr:from>
      <xdr:col>0</xdr:col>
      <xdr:colOff>0</xdr:colOff>
      <xdr:row>148</xdr:row>
      <xdr:rowOff>156884</xdr:rowOff>
    </xdr:from>
    <xdr:to>
      <xdr:col>2</xdr:col>
      <xdr:colOff>481853</xdr:colOff>
      <xdr:row>150</xdr:row>
      <xdr:rowOff>11208</xdr:rowOff>
    </xdr:to>
    <xdr:sp macro="" textlink="">
      <xdr:nvSpPr>
        <xdr:cNvPr id="10" name="Rectangle 22">
          <a:hlinkClick xmlns:r="http://schemas.openxmlformats.org/officeDocument/2006/relationships" r:id="rId7"/>
        </xdr:cNvPr>
        <xdr:cNvSpPr/>
      </xdr:nvSpPr>
      <xdr:spPr>
        <a:xfrm>
          <a:off x="0" y="28350884"/>
          <a:ext cx="1692088" cy="235324"/>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2.7 Profit sheet</a:t>
          </a:r>
        </a:p>
      </xdr:txBody>
    </xdr:sp>
    <xdr:clientData/>
  </xdr:twoCellAnchor>
  <xdr:twoCellAnchor>
    <xdr:from>
      <xdr:col>0</xdr:col>
      <xdr:colOff>0</xdr:colOff>
      <xdr:row>166</xdr:row>
      <xdr:rowOff>148827</xdr:rowOff>
    </xdr:from>
    <xdr:to>
      <xdr:col>2</xdr:col>
      <xdr:colOff>69905</xdr:colOff>
      <xdr:row>168</xdr:row>
      <xdr:rowOff>4311</xdr:rowOff>
    </xdr:to>
    <xdr:sp macro="" textlink="">
      <xdr:nvSpPr>
        <xdr:cNvPr id="11" name="Rectangle 22">
          <a:hlinkClick xmlns:r="http://schemas.openxmlformats.org/officeDocument/2006/relationships" r:id="rId8"/>
        </xdr:cNvPr>
        <xdr:cNvSpPr/>
      </xdr:nvSpPr>
      <xdr:spPr>
        <a:xfrm>
          <a:off x="0" y="31771827"/>
          <a:ext cx="1280140" cy="236484"/>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2.8 Graphs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68031</xdr:colOff>
      <xdr:row>3</xdr:row>
      <xdr:rowOff>1</xdr:rowOff>
    </xdr:from>
    <xdr:to>
      <xdr:col>4</xdr:col>
      <xdr:colOff>68032</xdr:colOff>
      <xdr:row>5</xdr:row>
      <xdr:rowOff>9526</xdr:rowOff>
    </xdr:to>
    <xdr:grpSp>
      <xdr:nvGrpSpPr>
        <xdr:cNvPr id="9" name="Sales Data"/>
        <xdr:cNvGrpSpPr/>
      </xdr:nvGrpSpPr>
      <xdr:grpSpPr>
        <a:xfrm>
          <a:off x="3047995" y="870858"/>
          <a:ext cx="1074966" cy="431347"/>
          <a:chOff x="219073" y="866781"/>
          <a:chExt cx="1466851" cy="429283"/>
        </a:xfrm>
        <a:effectLst>
          <a:outerShdw blurRad="50800" dist="25400" dir="17400000" rotWithShape="0">
            <a:schemeClr val="bg1">
              <a:lumMod val="65000"/>
              <a:alpha val="40000"/>
            </a:schemeClr>
          </a:outerShdw>
        </a:effectLst>
      </xdr:grpSpPr>
      <xdr:sp macro="" textlink="">
        <xdr:nvSpPr>
          <xdr:cNvPr id="23"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xnSp macro="">
        <xdr:nvCxnSpPr>
          <xdr:cNvPr id="24" name="Straight Connector 23" descr="Line"/>
          <xdr:cNvCxnSpPr/>
        </xdr:nvCxnSpPr>
        <xdr:spPr>
          <a:xfrm>
            <a:off x="219073" y="866781"/>
            <a:ext cx="1466851" cy="0"/>
          </a:xfrm>
          <a:prstGeom prst="line">
            <a:avLst/>
          </a:prstGeom>
          <a:solidFill>
            <a:schemeClr val="bg1"/>
          </a:solidFill>
          <a:ln w="28575">
            <a:solidFill>
              <a:schemeClr val="accent3"/>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4</xdr:col>
      <xdr:colOff>57146</xdr:colOff>
      <xdr:row>3</xdr:row>
      <xdr:rowOff>16330</xdr:rowOff>
    </xdr:from>
    <xdr:to>
      <xdr:col>5</xdr:col>
      <xdr:colOff>462638</xdr:colOff>
      <xdr:row>5</xdr:row>
      <xdr:rowOff>25855</xdr:rowOff>
    </xdr:to>
    <xdr:sp macro="" textlink="">
      <xdr:nvSpPr>
        <xdr:cNvPr id="5" name="Rectangle 22">
          <a:hlinkClick xmlns:r="http://schemas.openxmlformats.org/officeDocument/2006/relationships" r:id="rId1"/>
        </xdr:cNvPr>
        <xdr:cNvSpPr/>
      </xdr:nvSpPr>
      <xdr:spPr>
        <a:xfrm>
          <a:off x="2914646" y="887187"/>
          <a:ext cx="2487385" cy="431347"/>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5</xdr:col>
      <xdr:colOff>440867</xdr:colOff>
      <xdr:row>3</xdr:row>
      <xdr:rowOff>19051</xdr:rowOff>
    </xdr:from>
    <xdr:to>
      <xdr:col>6</xdr:col>
      <xdr:colOff>1687281</xdr:colOff>
      <xdr:row>5</xdr:row>
      <xdr:rowOff>28576</xdr:rowOff>
    </xdr:to>
    <xdr:sp macro="" textlink="">
      <xdr:nvSpPr>
        <xdr:cNvPr id="6" name="Rectangle 22">
          <a:hlinkClick xmlns:r="http://schemas.openxmlformats.org/officeDocument/2006/relationships" r:id="rId2"/>
        </xdr:cNvPr>
        <xdr:cNvSpPr/>
      </xdr:nvSpPr>
      <xdr:spPr>
        <a:xfrm>
          <a:off x="5380260" y="889908"/>
          <a:ext cx="2784021" cy="431347"/>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6</xdr:col>
      <xdr:colOff>1654624</xdr:colOff>
      <xdr:row>3</xdr:row>
      <xdr:rowOff>8165</xdr:rowOff>
    </xdr:from>
    <xdr:to>
      <xdr:col>8</xdr:col>
      <xdr:colOff>982431</xdr:colOff>
      <xdr:row>5</xdr:row>
      <xdr:rowOff>27214</xdr:rowOff>
    </xdr:to>
    <xdr:sp macro="" textlink="">
      <xdr:nvSpPr>
        <xdr:cNvPr id="7" name="Rectangle 22">
          <a:hlinkClick xmlns:r="http://schemas.openxmlformats.org/officeDocument/2006/relationships" r:id="rId3"/>
        </xdr:cNvPr>
        <xdr:cNvSpPr/>
      </xdr:nvSpPr>
      <xdr:spPr>
        <a:xfrm>
          <a:off x="8131624" y="879022"/>
          <a:ext cx="2784021" cy="440871"/>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8</xdr:col>
      <xdr:colOff>944331</xdr:colOff>
      <xdr:row>3</xdr:row>
      <xdr:rowOff>19051</xdr:rowOff>
    </xdr:from>
    <xdr:to>
      <xdr:col>9</xdr:col>
      <xdr:colOff>628645</xdr:colOff>
      <xdr:row>5</xdr:row>
      <xdr:rowOff>28576</xdr:rowOff>
    </xdr:to>
    <xdr:sp macro="" textlink="">
      <xdr:nvSpPr>
        <xdr:cNvPr id="8" name="Rectangle 22">
          <a:hlinkClick xmlns:r="http://schemas.openxmlformats.org/officeDocument/2006/relationships" r:id="rId4"/>
        </xdr:cNvPr>
        <xdr:cNvSpPr/>
      </xdr:nvSpPr>
      <xdr:spPr>
        <a:xfrm>
          <a:off x="10877545" y="889908"/>
          <a:ext cx="1412421" cy="431347"/>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9</xdr:col>
      <xdr:colOff>593267</xdr:colOff>
      <xdr:row>3</xdr:row>
      <xdr:rowOff>21772</xdr:rowOff>
    </xdr:from>
    <xdr:to>
      <xdr:col>10</xdr:col>
      <xdr:colOff>277580</xdr:colOff>
      <xdr:row>5</xdr:row>
      <xdr:rowOff>31297</xdr:rowOff>
    </xdr:to>
    <xdr:sp macro="" textlink="">
      <xdr:nvSpPr>
        <xdr:cNvPr id="10" name="Rectangle 22">
          <a:hlinkClick xmlns:r="http://schemas.openxmlformats.org/officeDocument/2006/relationships" r:id="rId5"/>
        </xdr:cNvPr>
        <xdr:cNvSpPr/>
      </xdr:nvSpPr>
      <xdr:spPr>
        <a:xfrm>
          <a:off x="12254588" y="892629"/>
          <a:ext cx="1412421" cy="431347"/>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10</xdr:col>
      <xdr:colOff>242202</xdr:colOff>
      <xdr:row>3</xdr:row>
      <xdr:rowOff>10886</xdr:rowOff>
    </xdr:from>
    <xdr:to>
      <xdr:col>11</xdr:col>
      <xdr:colOff>429982</xdr:colOff>
      <xdr:row>5</xdr:row>
      <xdr:rowOff>20411</xdr:rowOff>
    </xdr:to>
    <xdr:sp macro="" textlink="">
      <xdr:nvSpPr>
        <xdr:cNvPr id="11" name="Rectangle 22">
          <a:hlinkClick xmlns:r="http://schemas.openxmlformats.org/officeDocument/2006/relationships" r:id="rId6"/>
        </xdr:cNvPr>
        <xdr:cNvSpPr/>
      </xdr:nvSpPr>
      <xdr:spPr>
        <a:xfrm>
          <a:off x="13631631" y="881743"/>
          <a:ext cx="1412422" cy="431347"/>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11</xdr:col>
      <xdr:colOff>438146</xdr:colOff>
      <xdr:row>3</xdr:row>
      <xdr:rowOff>16330</xdr:rowOff>
    </xdr:from>
    <xdr:to>
      <xdr:col>12</xdr:col>
      <xdr:colOff>193218</xdr:colOff>
      <xdr:row>5</xdr:row>
      <xdr:rowOff>25855</xdr:rowOff>
    </xdr:to>
    <xdr:sp macro="" textlink="">
      <xdr:nvSpPr>
        <xdr:cNvPr id="12" name="Rectangle 22">
          <a:hlinkClick xmlns:r="http://schemas.openxmlformats.org/officeDocument/2006/relationships" r:id="rId7"/>
        </xdr:cNvPr>
        <xdr:cNvSpPr/>
      </xdr:nvSpPr>
      <xdr:spPr>
        <a:xfrm>
          <a:off x="15052217" y="887187"/>
          <a:ext cx="1074965"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2</xdr:col>
      <xdr:colOff>5439</xdr:colOff>
      <xdr:row>3</xdr:row>
      <xdr:rowOff>5444</xdr:rowOff>
    </xdr:from>
    <xdr:to>
      <xdr:col>3</xdr:col>
      <xdr:colOff>104775</xdr:colOff>
      <xdr:row>5</xdr:row>
      <xdr:rowOff>14969</xdr:rowOff>
    </xdr:to>
    <xdr:sp macro="" textlink="">
      <xdr:nvSpPr>
        <xdr:cNvPr id="13" name="Rectangle 22">
          <a:hlinkClick xmlns:r="http://schemas.openxmlformats.org/officeDocument/2006/relationships" r:id="rId8"/>
        </xdr:cNvPr>
        <xdr:cNvSpPr/>
      </xdr:nvSpPr>
      <xdr:spPr>
        <a:xfrm>
          <a:off x="710289" y="872219"/>
          <a:ext cx="1175661"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twoCellAnchor>
    <xdr:from>
      <xdr:col>0</xdr:col>
      <xdr:colOff>108858</xdr:colOff>
      <xdr:row>10</xdr:row>
      <xdr:rowOff>95249</xdr:rowOff>
    </xdr:from>
    <xdr:to>
      <xdr:col>1</xdr:col>
      <xdr:colOff>612322</xdr:colOff>
      <xdr:row>14</xdr:row>
      <xdr:rowOff>191300</xdr:rowOff>
    </xdr:to>
    <xdr:sp macro="" textlink="">
      <xdr:nvSpPr>
        <xdr:cNvPr id="14" name="Tekstvak 13"/>
        <xdr:cNvSpPr txBox="1"/>
      </xdr:nvSpPr>
      <xdr:spPr>
        <a:xfrm>
          <a:off x="108858" y="2585356"/>
          <a:ext cx="1211035" cy="1184623"/>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15</xdr:row>
      <xdr:rowOff>185887</xdr:rowOff>
    </xdr:from>
    <xdr:to>
      <xdr:col>0</xdr:col>
      <xdr:colOff>668471</xdr:colOff>
      <xdr:row>18</xdr:row>
      <xdr:rowOff>176512</xdr:rowOff>
    </xdr:to>
    <xdr:sp macro="" textlink="">
      <xdr:nvSpPr>
        <xdr:cNvPr id="2" name="PIJL-OMLAAG 1"/>
        <xdr:cNvSpPr/>
      </xdr:nvSpPr>
      <xdr:spPr>
        <a:xfrm rot="366387">
          <a:off x="209130" y="4036708"/>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24</xdr:row>
      <xdr:rowOff>95249</xdr:rowOff>
    </xdr:from>
    <xdr:to>
      <xdr:col>1</xdr:col>
      <xdr:colOff>612322</xdr:colOff>
      <xdr:row>28</xdr:row>
      <xdr:rowOff>191300</xdr:rowOff>
    </xdr:to>
    <xdr:sp macro="" textlink="">
      <xdr:nvSpPr>
        <xdr:cNvPr id="15" name="Tekstvak 13"/>
        <xdr:cNvSpPr txBox="1"/>
      </xdr:nvSpPr>
      <xdr:spPr>
        <a:xfrm>
          <a:off x="108858" y="2585356"/>
          <a:ext cx="1211035" cy="1184623"/>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29</xdr:row>
      <xdr:rowOff>185887</xdr:rowOff>
    </xdr:from>
    <xdr:to>
      <xdr:col>0</xdr:col>
      <xdr:colOff>668471</xdr:colOff>
      <xdr:row>32</xdr:row>
      <xdr:rowOff>176512</xdr:rowOff>
    </xdr:to>
    <xdr:sp macro="" textlink="">
      <xdr:nvSpPr>
        <xdr:cNvPr id="16" name="PIJL-OMLAAG 1"/>
        <xdr:cNvSpPr/>
      </xdr:nvSpPr>
      <xdr:spPr>
        <a:xfrm rot="366387">
          <a:off x="209130" y="4036708"/>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39</xdr:row>
      <xdr:rowOff>95249</xdr:rowOff>
    </xdr:from>
    <xdr:to>
      <xdr:col>1</xdr:col>
      <xdr:colOff>612322</xdr:colOff>
      <xdr:row>43</xdr:row>
      <xdr:rowOff>191300</xdr:rowOff>
    </xdr:to>
    <xdr:sp macro="" textlink="">
      <xdr:nvSpPr>
        <xdr:cNvPr id="17" name="Tekstvak 13"/>
        <xdr:cNvSpPr txBox="1"/>
      </xdr:nvSpPr>
      <xdr:spPr>
        <a:xfrm>
          <a:off x="108858" y="2585356"/>
          <a:ext cx="1211035" cy="1184623"/>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44</xdr:row>
      <xdr:rowOff>185887</xdr:rowOff>
    </xdr:from>
    <xdr:to>
      <xdr:col>0</xdr:col>
      <xdr:colOff>668471</xdr:colOff>
      <xdr:row>46</xdr:row>
      <xdr:rowOff>176512</xdr:rowOff>
    </xdr:to>
    <xdr:sp macro="" textlink="">
      <xdr:nvSpPr>
        <xdr:cNvPr id="18" name="PIJL-OMLAAG 1"/>
        <xdr:cNvSpPr/>
      </xdr:nvSpPr>
      <xdr:spPr>
        <a:xfrm rot="366387">
          <a:off x="209130" y="4036708"/>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53</xdr:row>
      <xdr:rowOff>95249</xdr:rowOff>
    </xdr:from>
    <xdr:to>
      <xdr:col>1</xdr:col>
      <xdr:colOff>612322</xdr:colOff>
      <xdr:row>57</xdr:row>
      <xdr:rowOff>191300</xdr:rowOff>
    </xdr:to>
    <xdr:sp macro="" textlink="">
      <xdr:nvSpPr>
        <xdr:cNvPr id="19" name="Tekstvak 13"/>
        <xdr:cNvSpPr txBox="1"/>
      </xdr:nvSpPr>
      <xdr:spPr>
        <a:xfrm>
          <a:off x="108858" y="2585356"/>
          <a:ext cx="1211035" cy="1184623"/>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58</xdr:row>
      <xdr:rowOff>185887</xdr:rowOff>
    </xdr:from>
    <xdr:to>
      <xdr:col>0</xdr:col>
      <xdr:colOff>668471</xdr:colOff>
      <xdr:row>61</xdr:row>
      <xdr:rowOff>176512</xdr:rowOff>
    </xdr:to>
    <xdr:sp macro="" textlink="">
      <xdr:nvSpPr>
        <xdr:cNvPr id="20" name="PIJL-OMLAAG 1"/>
        <xdr:cNvSpPr/>
      </xdr:nvSpPr>
      <xdr:spPr>
        <a:xfrm rot="366387">
          <a:off x="209130" y="4036708"/>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68</xdr:row>
      <xdr:rowOff>95249</xdr:rowOff>
    </xdr:from>
    <xdr:to>
      <xdr:col>1</xdr:col>
      <xdr:colOff>612322</xdr:colOff>
      <xdr:row>72</xdr:row>
      <xdr:rowOff>191300</xdr:rowOff>
    </xdr:to>
    <xdr:sp macro="" textlink="">
      <xdr:nvSpPr>
        <xdr:cNvPr id="21" name="Tekstvak 13"/>
        <xdr:cNvSpPr txBox="1"/>
      </xdr:nvSpPr>
      <xdr:spPr>
        <a:xfrm>
          <a:off x="108858" y="2585356"/>
          <a:ext cx="1211035" cy="1184623"/>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73</xdr:row>
      <xdr:rowOff>185887</xdr:rowOff>
    </xdr:from>
    <xdr:to>
      <xdr:col>0</xdr:col>
      <xdr:colOff>668471</xdr:colOff>
      <xdr:row>76</xdr:row>
      <xdr:rowOff>176512</xdr:rowOff>
    </xdr:to>
    <xdr:sp macro="" textlink="">
      <xdr:nvSpPr>
        <xdr:cNvPr id="22" name="PIJL-OMLAAG 1"/>
        <xdr:cNvSpPr/>
      </xdr:nvSpPr>
      <xdr:spPr>
        <a:xfrm rot="366387">
          <a:off x="209130" y="4036708"/>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81</xdr:row>
      <xdr:rowOff>95249</xdr:rowOff>
    </xdr:from>
    <xdr:to>
      <xdr:col>1</xdr:col>
      <xdr:colOff>612322</xdr:colOff>
      <xdr:row>85</xdr:row>
      <xdr:rowOff>191300</xdr:rowOff>
    </xdr:to>
    <xdr:sp macro="" textlink="">
      <xdr:nvSpPr>
        <xdr:cNvPr id="25" name="Tekstvak 13"/>
        <xdr:cNvSpPr txBox="1"/>
      </xdr:nvSpPr>
      <xdr:spPr>
        <a:xfrm>
          <a:off x="108858" y="2585356"/>
          <a:ext cx="1211035" cy="1184623"/>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86</xdr:row>
      <xdr:rowOff>185887</xdr:rowOff>
    </xdr:from>
    <xdr:to>
      <xdr:col>0</xdr:col>
      <xdr:colOff>668471</xdr:colOff>
      <xdr:row>89</xdr:row>
      <xdr:rowOff>176512</xdr:rowOff>
    </xdr:to>
    <xdr:sp macro="" textlink="">
      <xdr:nvSpPr>
        <xdr:cNvPr id="26" name="PIJL-OMLAAG 1"/>
        <xdr:cNvSpPr/>
      </xdr:nvSpPr>
      <xdr:spPr>
        <a:xfrm rot="366387">
          <a:off x="209130" y="4036708"/>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95</xdr:row>
      <xdr:rowOff>95249</xdr:rowOff>
    </xdr:from>
    <xdr:to>
      <xdr:col>1</xdr:col>
      <xdr:colOff>612322</xdr:colOff>
      <xdr:row>99</xdr:row>
      <xdr:rowOff>191300</xdr:rowOff>
    </xdr:to>
    <xdr:sp macro="" textlink="">
      <xdr:nvSpPr>
        <xdr:cNvPr id="27" name="Tekstvak 13"/>
        <xdr:cNvSpPr txBox="1"/>
      </xdr:nvSpPr>
      <xdr:spPr>
        <a:xfrm>
          <a:off x="108858" y="22179642"/>
          <a:ext cx="1211035" cy="1184622"/>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100</xdr:row>
      <xdr:rowOff>185887</xdr:rowOff>
    </xdr:from>
    <xdr:to>
      <xdr:col>0</xdr:col>
      <xdr:colOff>668471</xdr:colOff>
      <xdr:row>103</xdr:row>
      <xdr:rowOff>176512</xdr:rowOff>
    </xdr:to>
    <xdr:sp macro="" textlink="">
      <xdr:nvSpPr>
        <xdr:cNvPr id="28" name="PIJL-OMLAAG 1"/>
        <xdr:cNvSpPr/>
      </xdr:nvSpPr>
      <xdr:spPr>
        <a:xfrm rot="366387">
          <a:off x="209130" y="23630994"/>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109</xdr:row>
      <xdr:rowOff>95249</xdr:rowOff>
    </xdr:from>
    <xdr:to>
      <xdr:col>1</xdr:col>
      <xdr:colOff>612322</xdr:colOff>
      <xdr:row>113</xdr:row>
      <xdr:rowOff>191300</xdr:rowOff>
    </xdr:to>
    <xdr:sp macro="" textlink="">
      <xdr:nvSpPr>
        <xdr:cNvPr id="29" name="Tekstvak 13"/>
        <xdr:cNvSpPr txBox="1"/>
      </xdr:nvSpPr>
      <xdr:spPr>
        <a:xfrm>
          <a:off x="108858" y="25989642"/>
          <a:ext cx="1211035" cy="1184622"/>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114</xdr:row>
      <xdr:rowOff>185887</xdr:rowOff>
    </xdr:from>
    <xdr:to>
      <xdr:col>0</xdr:col>
      <xdr:colOff>668471</xdr:colOff>
      <xdr:row>117</xdr:row>
      <xdr:rowOff>176512</xdr:rowOff>
    </xdr:to>
    <xdr:sp macro="" textlink="">
      <xdr:nvSpPr>
        <xdr:cNvPr id="30" name="PIJL-OMLAAG 1"/>
        <xdr:cNvSpPr/>
      </xdr:nvSpPr>
      <xdr:spPr>
        <a:xfrm rot="366387">
          <a:off x="209130" y="27440994"/>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123</xdr:row>
      <xdr:rowOff>95249</xdr:rowOff>
    </xdr:from>
    <xdr:to>
      <xdr:col>1</xdr:col>
      <xdr:colOff>612322</xdr:colOff>
      <xdr:row>127</xdr:row>
      <xdr:rowOff>191300</xdr:rowOff>
    </xdr:to>
    <xdr:sp macro="" textlink="">
      <xdr:nvSpPr>
        <xdr:cNvPr id="31" name="Tekstvak 13"/>
        <xdr:cNvSpPr txBox="1"/>
      </xdr:nvSpPr>
      <xdr:spPr>
        <a:xfrm>
          <a:off x="108858" y="25989642"/>
          <a:ext cx="1211035" cy="1184622"/>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128</xdr:row>
      <xdr:rowOff>185887</xdr:rowOff>
    </xdr:from>
    <xdr:to>
      <xdr:col>0</xdr:col>
      <xdr:colOff>668471</xdr:colOff>
      <xdr:row>131</xdr:row>
      <xdr:rowOff>176512</xdr:rowOff>
    </xdr:to>
    <xdr:sp macro="" textlink="">
      <xdr:nvSpPr>
        <xdr:cNvPr id="32" name="PIJL-OMLAAG 1"/>
        <xdr:cNvSpPr/>
      </xdr:nvSpPr>
      <xdr:spPr>
        <a:xfrm rot="366387">
          <a:off x="209130" y="27440994"/>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137</xdr:row>
      <xdr:rowOff>95249</xdr:rowOff>
    </xdr:from>
    <xdr:to>
      <xdr:col>1</xdr:col>
      <xdr:colOff>612322</xdr:colOff>
      <xdr:row>141</xdr:row>
      <xdr:rowOff>191300</xdr:rowOff>
    </xdr:to>
    <xdr:sp macro="" textlink="">
      <xdr:nvSpPr>
        <xdr:cNvPr id="33" name="Tekstvak 13"/>
        <xdr:cNvSpPr txBox="1"/>
      </xdr:nvSpPr>
      <xdr:spPr>
        <a:xfrm>
          <a:off x="108858" y="25989642"/>
          <a:ext cx="1211035" cy="1184622"/>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142</xdr:row>
      <xdr:rowOff>185887</xdr:rowOff>
    </xdr:from>
    <xdr:to>
      <xdr:col>0</xdr:col>
      <xdr:colOff>668471</xdr:colOff>
      <xdr:row>145</xdr:row>
      <xdr:rowOff>176512</xdr:rowOff>
    </xdr:to>
    <xdr:sp macro="" textlink="">
      <xdr:nvSpPr>
        <xdr:cNvPr id="34" name="PIJL-OMLAAG 1"/>
        <xdr:cNvSpPr/>
      </xdr:nvSpPr>
      <xdr:spPr>
        <a:xfrm rot="366387">
          <a:off x="209130" y="27440994"/>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151</xdr:row>
      <xdr:rowOff>95249</xdr:rowOff>
    </xdr:from>
    <xdr:to>
      <xdr:col>1</xdr:col>
      <xdr:colOff>612322</xdr:colOff>
      <xdr:row>155</xdr:row>
      <xdr:rowOff>191300</xdr:rowOff>
    </xdr:to>
    <xdr:sp macro="" textlink="">
      <xdr:nvSpPr>
        <xdr:cNvPr id="35" name="Tekstvak 13"/>
        <xdr:cNvSpPr txBox="1"/>
      </xdr:nvSpPr>
      <xdr:spPr>
        <a:xfrm>
          <a:off x="108858" y="25989642"/>
          <a:ext cx="1211035" cy="1184622"/>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156</xdr:row>
      <xdr:rowOff>185887</xdr:rowOff>
    </xdr:from>
    <xdr:to>
      <xdr:col>0</xdr:col>
      <xdr:colOff>668471</xdr:colOff>
      <xdr:row>159</xdr:row>
      <xdr:rowOff>176512</xdr:rowOff>
    </xdr:to>
    <xdr:sp macro="" textlink="">
      <xdr:nvSpPr>
        <xdr:cNvPr id="36" name="PIJL-OMLAAG 1"/>
        <xdr:cNvSpPr/>
      </xdr:nvSpPr>
      <xdr:spPr>
        <a:xfrm rot="366387">
          <a:off x="209130" y="27440994"/>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108858</xdr:colOff>
      <xdr:row>165</xdr:row>
      <xdr:rowOff>95249</xdr:rowOff>
    </xdr:from>
    <xdr:to>
      <xdr:col>1</xdr:col>
      <xdr:colOff>612322</xdr:colOff>
      <xdr:row>169</xdr:row>
      <xdr:rowOff>191300</xdr:rowOff>
    </xdr:to>
    <xdr:sp macro="" textlink="">
      <xdr:nvSpPr>
        <xdr:cNvPr id="37" name="Tekstvak 13"/>
        <xdr:cNvSpPr txBox="1"/>
      </xdr:nvSpPr>
      <xdr:spPr>
        <a:xfrm>
          <a:off x="108858" y="25989642"/>
          <a:ext cx="1211035" cy="1184622"/>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baseline="0"/>
            <a:t>Rightclick on the TOTAL row number to insert a new row for a new cell</a:t>
          </a:r>
          <a:endParaRPr lang="nl-NL" sz="1100"/>
        </a:p>
      </xdr:txBody>
    </xdr:sp>
    <xdr:clientData/>
  </xdr:twoCellAnchor>
  <xdr:twoCellAnchor>
    <xdr:from>
      <xdr:col>0</xdr:col>
      <xdr:colOff>209130</xdr:colOff>
      <xdr:row>170</xdr:row>
      <xdr:rowOff>185887</xdr:rowOff>
    </xdr:from>
    <xdr:to>
      <xdr:col>0</xdr:col>
      <xdr:colOff>668471</xdr:colOff>
      <xdr:row>173</xdr:row>
      <xdr:rowOff>176512</xdr:rowOff>
    </xdr:to>
    <xdr:sp macro="" textlink="">
      <xdr:nvSpPr>
        <xdr:cNvPr id="38" name="PIJL-OMLAAG 1"/>
        <xdr:cNvSpPr/>
      </xdr:nvSpPr>
      <xdr:spPr>
        <a:xfrm rot="366387">
          <a:off x="209130" y="27440994"/>
          <a:ext cx="459341" cy="80705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609599</xdr:colOff>
      <xdr:row>3</xdr:row>
      <xdr:rowOff>1</xdr:rowOff>
    </xdr:from>
    <xdr:to>
      <xdr:col>6</xdr:col>
      <xdr:colOff>0</xdr:colOff>
      <xdr:row>5</xdr:row>
      <xdr:rowOff>9526</xdr:rowOff>
    </xdr:to>
    <xdr:grpSp>
      <xdr:nvGrpSpPr>
        <xdr:cNvPr id="5" name="Sales Data"/>
        <xdr:cNvGrpSpPr/>
      </xdr:nvGrpSpPr>
      <xdr:grpSpPr>
        <a:xfrm>
          <a:off x="6038849" y="1115787"/>
          <a:ext cx="2722" cy="390525"/>
          <a:chOff x="219073" y="866781"/>
          <a:chExt cx="1466851" cy="429283"/>
        </a:xfrm>
        <a:effectLst>
          <a:outerShdw blurRad="50800" dist="25400" dir="17400000" rotWithShape="0">
            <a:schemeClr val="bg1">
              <a:lumMod val="65000"/>
              <a:alpha val="40000"/>
            </a:schemeClr>
          </a:outerShdw>
        </a:effectLst>
      </xdr:grpSpPr>
      <xdr:sp macro="" textlink="">
        <xdr:nvSpPr>
          <xdr:cNvPr id="6"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EXPENSES</a:t>
            </a:r>
          </a:p>
        </xdr:txBody>
      </xdr:sp>
      <xdr:cxnSp macro="">
        <xdr:nvCxnSpPr>
          <xdr:cNvPr id="7" name="Straight Connector 23" descr="Line"/>
          <xdr:cNvCxnSpPr/>
        </xdr:nvCxnSpPr>
        <xdr:spPr>
          <a:xfrm>
            <a:off x="219073" y="866781"/>
            <a:ext cx="1466851" cy="0"/>
          </a:xfrm>
          <a:prstGeom prst="line">
            <a:avLst/>
          </a:prstGeom>
          <a:solidFill>
            <a:schemeClr val="bg1"/>
          </a:solidFill>
          <a:ln w="28575">
            <a:solidFill>
              <a:schemeClr val="accent3"/>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1174750</xdr:colOff>
      <xdr:row>2</xdr:row>
      <xdr:rowOff>409575</xdr:rowOff>
    </xdr:from>
    <xdr:to>
      <xdr:col>3</xdr:col>
      <xdr:colOff>351065</xdr:colOff>
      <xdr:row>5</xdr:row>
      <xdr:rowOff>2722</xdr:rowOff>
    </xdr:to>
    <xdr:sp macro="" textlink="">
      <xdr:nvSpPr>
        <xdr:cNvPr id="9" name="Rectangle 22">
          <a:hlinkClick xmlns:r="http://schemas.openxmlformats.org/officeDocument/2006/relationships" r:id="rId1"/>
        </xdr:cNvPr>
        <xdr:cNvSpPr/>
      </xdr:nvSpPr>
      <xdr:spPr>
        <a:xfrm>
          <a:off x="1788583" y="1055158"/>
          <a:ext cx="1271815" cy="429231"/>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lientData/>
  </xdr:twoCellAnchor>
  <xdr:twoCellAnchor>
    <xdr:from>
      <xdr:col>3</xdr:col>
      <xdr:colOff>340179</xdr:colOff>
      <xdr:row>2</xdr:row>
      <xdr:rowOff>425904</xdr:rowOff>
    </xdr:from>
    <xdr:to>
      <xdr:col>5</xdr:col>
      <xdr:colOff>0</xdr:colOff>
      <xdr:row>5</xdr:row>
      <xdr:rowOff>19051</xdr:rowOff>
    </xdr:to>
    <xdr:sp macro="" textlink="">
      <xdr:nvSpPr>
        <xdr:cNvPr id="11" name="Rectangle 22">
          <a:hlinkClick xmlns:r="http://schemas.openxmlformats.org/officeDocument/2006/relationships" r:id="rId2"/>
        </xdr:cNvPr>
        <xdr:cNvSpPr/>
      </xdr:nvSpPr>
      <xdr:spPr>
        <a:xfrm>
          <a:off x="1692729" y="1073604"/>
          <a:ext cx="1412421" cy="431347"/>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5</xdr:col>
      <xdr:colOff>0</xdr:colOff>
      <xdr:row>2</xdr:row>
      <xdr:rowOff>428625</xdr:rowOff>
    </xdr:from>
    <xdr:to>
      <xdr:col>8</xdr:col>
      <xdr:colOff>152400</xdr:colOff>
      <xdr:row>5</xdr:row>
      <xdr:rowOff>21772</xdr:rowOff>
    </xdr:to>
    <xdr:sp macro="" textlink="">
      <xdr:nvSpPr>
        <xdr:cNvPr id="12" name="Rectangle 22">
          <a:hlinkClick xmlns:r="http://schemas.openxmlformats.org/officeDocument/2006/relationships" r:id="rId3"/>
        </xdr:cNvPr>
        <xdr:cNvSpPr/>
      </xdr:nvSpPr>
      <xdr:spPr>
        <a:xfrm>
          <a:off x="3083379" y="1076325"/>
          <a:ext cx="2784021" cy="431347"/>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8</xdr:col>
      <xdr:colOff>119743</xdr:colOff>
      <xdr:row>2</xdr:row>
      <xdr:rowOff>417739</xdr:rowOff>
    </xdr:from>
    <xdr:to>
      <xdr:col>12</xdr:col>
      <xdr:colOff>465364</xdr:colOff>
      <xdr:row>5</xdr:row>
      <xdr:rowOff>20410</xdr:rowOff>
    </xdr:to>
    <xdr:sp macro="" textlink="">
      <xdr:nvSpPr>
        <xdr:cNvPr id="13" name="Rectangle 22">
          <a:hlinkClick xmlns:r="http://schemas.openxmlformats.org/officeDocument/2006/relationships" r:id="rId4"/>
        </xdr:cNvPr>
        <xdr:cNvSpPr/>
      </xdr:nvSpPr>
      <xdr:spPr>
        <a:xfrm>
          <a:off x="5834743" y="1065439"/>
          <a:ext cx="2784021" cy="440871"/>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12</xdr:col>
      <xdr:colOff>427264</xdr:colOff>
      <xdr:row>2</xdr:row>
      <xdr:rowOff>428625</xdr:rowOff>
    </xdr:from>
    <xdr:to>
      <xdr:col>15</xdr:col>
      <xdr:colOff>10885</xdr:colOff>
      <xdr:row>5</xdr:row>
      <xdr:rowOff>21772</xdr:rowOff>
    </xdr:to>
    <xdr:sp macro="" textlink="">
      <xdr:nvSpPr>
        <xdr:cNvPr id="14" name="Rectangle 22">
          <a:hlinkClick xmlns:r="http://schemas.openxmlformats.org/officeDocument/2006/relationships" r:id="rId5"/>
        </xdr:cNvPr>
        <xdr:cNvSpPr/>
      </xdr:nvSpPr>
      <xdr:spPr>
        <a:xfrm>
          <a:off x="8580664" y="1076325"/>
          <a:ext cx="1412421" cy="431347"/>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14</xdr:col>
      <xdr:colOff>585107</xdr:colOff>
      <xdr:row>2</xdr:row>
      <xdr:rowOff>431346</xdr:rowOff>
    </xdr:from>
    <xdr:to>
      <xdr:col>17</xdr:col>
      <xdr:colOff>168728</xdr:colOff>
      <xdr:row>5</xdr:row>
      <xdr:rowOff>24493</xdr:rowOff>
    </xdr:to>
    <xdr:sp macro="" textlink="">
      <xdr:nvSpPr>
        <xdr:cNvPr id="15" name="Rectangle 22">
          <a:hlinkClick xmlns:r="http://schemas.openxmlformats.org/officeDocument/2006/relationships" r:id="rId6"/>
        </xdr:cNvPr>
        <xdr:cNvSpPr/>
      </xdr:nvSpPr>
      <xdr:spPr>
        <a:xfrm>
          <a:off x="9957707" y="1079046"/>
          <a:ext cx="1412421" cy="431347"/>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17</xdr:col>
      <xdr:colOff>133350</xdr:colOff>
      <xdr:row>2</xdr:row>
      <xdr:rowOff>420460</xdr:rowOff>
    </xdr:from>
    <xdr:to>
      <xdr:col>19</xdr:col>
      <xdr:colOff>326571</xdr:colOff>
      <xdr:row>5</xdr:row>
      <xdr:rowOff>13607</xdr:rowOff>
    </xdr:to>
    <xdr:sp macro="" textlink="">
      <xdr:nvSpPr>
        <xdr:cNvPr id="16" name="Rectangle 22">
          <a:hlinkClick xmlns:r="http://schemas.openxmlformats.org/officeDocument/2006/relationships" r:id="rId7"/>
        </xdr:cNvPr>
        <xdr:cNvSpPr/>
      </xdr:nvSpPr>
      <xdr:spPr>
        <a:xfrm>
          <a:off x="11334750" y="1068160"/>
          <a:ext cx="1412421" cy="431347"/>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3</xdr:col>
      <xdr:colOff>343353</xdr:colOff>
      <xdr:row>2</xdr:row>
      <xdr:rowOff>417286</xdr:rowOff>
    </xdr:from>
    <xdr:to>
      <xdr:col>5</xdr:col>
      <xdr:colOff>0</xdr:colOff>
      <xdr:row>2</xdr:row>
      <xdr:rowOff>419102</xdr:rowOff>
    </xdr:to>
    <xdr:cxnSp macro="">
      <xdr:nvCxnSpPr>
        <xdr:cNvPr id="18" name="Straight Connector 23" descr="Line"/>
        <xdr:cNvCxnSpPr/>
      </xdr:nvCxnSpPr>
      <xdr:spPr>
        <a:xfrm flipV="1">
          <a:off x="1694996" y="1065893"/>
          <a:ext cx="1384754" cy="1816"/>
        </a:xfrm>
        <a:prstGeom prst="line">
          <a:avLst/>
        </a:prstGeom>
        <a:solidFill>
          <a:schemeClr val="bg1"/>
        </a:solidFill>
        <a:ln w="28575">
          <a:solidFill>
            <a:srgbClr val="00206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clientData/>
  </xdr:twoCellAnchor>
  <xdr:twoCellAnchor>
    <xdr:from>
      <xdr:col>19</xdr:col>
      <xdr:colOff>328082</xdr:colOff>
      <xdr:row>2</xdr:row>
      <xdr:rowOff>433919</xdr:rowOff>
    </xdr:from>
    <xdr:to>
      <xdr:col>21</xdr:col>
      <xdr:colOff>175380</xdr:colOff>
      <xdr:row>5</xdr:row>
      <xdr:rowOff>29182</xdr:rowOff>
    </xdr:to>
    <xdr:sp macro="" textlink="">
      <xdr:nvSpPr>
        <xdr:cNvPr id="17" name="Rectangle 22">
          <a:hlinkClick xmlns:r="http://schemas.openxmlformats.org/officeDocument/2006/relationships" r:id="rId8"/>
        </xdr:cNvPr>
        <xdr:cNvSpPr/>
      </xdr:nvSpPr>
      <xdr:spPr>
        <a:xfrm>
          <a:off x="15377582" y="1079502"/>
          <a:ext cx="1074965"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0</xdr:col>
      <xdr:colOff>603250</xdr:colOff>
      <xdr:row>2</xdr:row>
      <xdr:rowOff>409575</xdr:rowOff>
    </xdr:from>
    <xdr:to>
      <xdr:col>1</xdr:col>
      <xdr:colOff>1186244</xdr:colOff>
      <xdr:row>5</xdr:row>
      <xdr:rowOff>2116</xdr:rowOff>
    </xdr:to>
    <xdr:sp macro="" textlink="">
      <xdr:nvSpPr>
        <xdr:cNvPr id="19" name="Rectangle 22">
          <a:hlinkClick xmlns:r="http://schemas.openxmlformats.org/officeDocument/2006/relationships" r:id="rId9"/>
        </xdr:cNvPr>
        <xdr:cNvSpPr/>
      </xdr:nvSpPr>
      <xdr:spPr>
        <a:xfrm>
          <a:off x="603250" y="1055158"/>
          <a:ext cx="1196827"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twoCellAnchor>
    <xdr:from>
      <xdr:col>6</xdr:col>
      <xdr:colOff>78443</xdr:colOff>
      <xdr:row>7</xdr:row>
      <xdr:rowOff>89647</xdr:rowOff>
    </xdr:from>
    <xdr:to>
      <xdr:col>9</xdr:col>
      <xdr:colOff>425824</xdr:colOff>
      <xdr:row>17</xdr:row>
      <xdr:rowOff>11206</xdr:rowOff>
    </xdr:to>
    <xdr:sp macro="" textlink="">
      <xdr:nvSpPr>
        <xdr:cNvPr id="2" name="Tekstvak 1"/>
        <xdr:cNvSpPr txBox="1"/>
      </xdr:nvSpPr>
      <xdr:spPr>
        <a:xfrm>
          <a:off x="5703796" y="1961029"/>
          <a:ext cx="2162734" cy="1255059"/>
        </a:xfrm>
        <a:prstGeom prst="rect">
          <a:avLst/>
        </a:prstGeom>
        <a:solidFill>
          <a:srgbClr val="FFFF66"/>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nl-NL" sz="1100"/>
            <a:t>Whenever you insert a new sale,</a:t>
          </a:r>
          <a:r>
            <a:rPr lang="nl-NL" sz="1100" baseline="0"/>
            <a:t> and therefore a row, on the daily sales sheet. You have to insert it on this sheet aswell. This isn't automatically done. The data is automatically filled in though.</a:t>
          </a:r>
          <a:endParaRPr lang="nl-NL" sz="1100"/>
        </a:p>
      </xdr:txBody>
    </xdr:sp>
    <xdr:clientData/>
  </xdr:twoCellAnchor>
  <xdr:twoCellAnchor>
    <xdr:from>
      <xdr:col>5</xdr:col>
      <xdr:colOff>179297</xdr:colOff>
      <xdr:row>15</xdr:row>
      <xdr:rowOff>62654</xdr:rowOff>
    </xdr:from>
    <xdr:to>
      <xdr:col>6</xdr:col>
      <xdr:colOff>67237</xdr:colOff>
      <xdr:row>16</xdr:row>
      <xdr:rowOff>150729</xdr:rowOff>
    </xdr:to>
    <xdr:sp macro="" textlink="">
      <xdr:nvSpPr>
        <xdr:cNvPr id="20" name="PIJL-OMLAAG 19"/>
        <xdr:cNvSpPr/>
      </xdr:nvSpPr>
      <xdr:spPr>
        <a:xfrm rot="5400000">
          <a:off x="5306773" y="2779295"/>
          <a:ext cx="278575" cy="49305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552450</xdr:colOff>
      <xdr:row>3</xdr:row>
      <xdr:rowOff>78259</xdr:rowOff>
    </xdr:from>
    <xdr:to>
      <xdr:col>6</xdr:col>
      <xdr:colOff>1624263</xdr:colOff>
      <xdr:row>3</xdr:row>
      <xdr:rowOff>80210</xdr:rowOff>
    </xdr:to>
    <xdr:cxnSp macro="">
      <xdr:nvCxnSpPr>
        <xdr:cNvPr id="4" name="Straight Connector 23" descr="Line"/>
        <xdr:cNvCxnSpPr/>
      </xdr:nvCxnSpPr>
      <xdr:spPr>
        <a:xfrm>
          <a:off x="3074068" y="1181154"/>
          <a:ext cx="2781300" cy="1951"/>
        </a:xfrm>
        <a:prstGeom prst="line">
          <a:avLst/>
        </a:prstGeom>
        <a:solidFill>
          <a:schemeClr val="bg1"/>
        </a:solidFill>
        <a:ln w="28575">
          <a:solidFill>
            <a:schemeClr val="accent1">
              <a:lumMod val="50000"/>
            </a:schemeClr>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1005416</xdr:colOff>
      <xdr:row>3</xdr:row>
      <xdr:rowOff>78259</xdr:rowOff>
    </xdr:from>
    <xdr:to>
      <xdr:col>3</xdr:col>
      <xdr:colOff>72723</xdr:colOff>
      <xdr:row>5</xdr:row>
      <xdr:rowOff>126490</xdr:rowOff>
    </xdr:to>
    <xdr:sp macro="" textlink="">
      <xdr:nvSpPr>
        <xdr:cNvPr id="5" name="Rectangle 22">
          <a:hlinkClick xmlns:r="http://schemas.openxmlformats.org/officeDocument/2006/relationships" r:id="rId1"/>
        </xdr:cNvPr>
        <xdr:cNvSpPr/>
      </xdr:nvSpPr>
      <xdr:spPr>
        <a:xfrm>
          <a:off x="1619249" y="1178926"/>
          <a:ext cx="1078141" cy="429231"/>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lientData/>
  </xdr:twoCellAnchor>
  <xdr:twoCellAnchor>
    <xdr:from>
      <xdr:col>3</xdr:col>
      <xdr:colOff>61838</xdr:colOff>
      <xdr:row>3</xdr:row>
      <xdr:rowOff>94588</xdr:rowOff>
    </xdr:from>
    <xdr:to>
      <xdr:col>4</xdr:col>
      <xdr:colOff>577850</xdr:colOff>
      <xdr:row>5</xdr:row>
      <xdr:rowOff>142819</xdr:rowOff>
    </xdr:to>
    <xdr:sp macro="" textlink="">
      <xdr:nvSpPr>
        <xdr:cNvPr id="6" name="Rectangle 22">
          <a:hlinkClick xmlns:r="http://schemas.openxmlformats.org/officeDocument/2006/relationships" r:id="rId2"/>
        </xdr:cNvPr>
        <xdr:cNvSpPr/>
      </xdr:nvSpPr>
      <xdr:spPr>
        <a:xfrm>
          <a:off x="1671563" y="1199488"/>
          <a:ext cx="1420887"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4</xdr:col>
      <xdr:colOff>556079</xdr:colOff>
      <xdr:row>3</xdr:row>
      <xdr:rowOff>97309</xdr:rowOff>
    </xdr:from>
    <xdr:to>
      <xdr:col>6</xdr:col>
      <xdr:colOff>1645709</xdr:colOff>
      <xdr:row>5</xdr:row>
      <xdr:rowOff>145540</xdr:rowOff>
    </xdr:to>
    <xdr:sp macro="" textlink="">
      <xdr:nvSpPr>
        <xdr:cNvPr id="7" name="Rectangle 22">
          <a:hlinkClick xmlns:r="http://schemas.openxmlformats.org/officeDocument/2006/relationships" r:id="rId3"/>
        </xdr:cNvPr>
        <xdr:cNvSpPr/>
      </xdr:nvSpPr>
      <xdr:spPr>
        <a:xfrm>
          <a:off x="3070679" y="1202209"/>
          <a:ext cx="2794605" cy="429231"/>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7</xdr:col>
      <xdr:colOff>6502</xdr:colOff>
      <xdr:row>3</xdr:row>
      <xdr:rowOff>86423</xdr:rowOff>
    </xdr:from>
    <xdr:to>
      <xdr:col>8</xdr:col>
      <xdr:colOff>169333</xdr:colOff>
      <xdr:row>5</xdr:row>
      <xdr:rowOff>144178</xdr:rowOff>
    </xdr:to>
    <xdr:sp macro="" textlink="">
      <xdr:nvSpPr>
        <xdr:cNvPr id="8" name="Rectangle 22">
          <a:hlinkClick xmlns:r="http://schemas.openxmlformats.org/officeDocument/2006/relationships" r:id="rId4"/>
        </xdr:cNvPr>
        <xdr:cNvSpPr/>
      </xdr:nvSpPr>
      <xdr:spPr>
        <a:xfrm>
          <a:off x="8515502" y="1187090"/>
          <a:ext cx="2088998" cy="438755"/>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8</xdr:col>
      <xdr:colOff>91771</xdr:colOff>
      <xdr:row>3</xdr:row>
      <xdr:rowOff>97309</xdr:rowOff>
    </xdr:from>
    <xdr:to>
      <xdr:col>8</xdr:col>
      <xdr:colOff>1598083</xdr:colOff>
      <xdr:row>5</xdr:row>
      <xdr:rowOff>145540</xdr:rowOff>
    </xdr:to>
    <xdr:sp macro="" textlink="">
      <xdr:nvSpPr>
        <xdr:cNvPr id="9" name="Rectangle 22">
          <a:hlinkClick xmlns:r="http://schemas.openxmlformats.org/officeDocument/2006/relationships" r:id="rId5"/>
        </xdr:cNvPr>
        <xdr:cNvSpPr/>
      </xdr:nvSpPr>
      <xdr:spPr>
        <a:xfrm>
          <a:off x="10526938" y="1197976"/>
          <a:ext cx="1506312"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8</xdr:col>
      <xdr:colOff>1583111</xdr:colOff>
      <xdr:row>3</xdr:row>
      <xdr:rowOff>100030</xdr:rowOff>
    </xdr:from>
    <xdr:to>
      <xdr:col>10</xdr:col>
      <xdr:colOff>203649</xdr:colOff>
      <xdr:row>5</xdr:row>
      <xdr:rowOff>148261</xdr:rowOff>
    </xdr:to>
    <xdr:sp macro="" textlink="">
      <xdr:nvSpPr>
        <xdr:cNvPr id="10" name="Rectangle 22">
          <a:hlinkClick xmlns:r="http://schemas.openxmlformats.org/officeDocument/2006/relationships" r:id="rId6"/>
        </xdr:cNvPr>
        <xdr:cNvSpPr/>
      </xdr:nvSpPr>
      <xdr:spPr>
        <a:xfrm>
          <a:off x="12018278" y="1200697"/>
          <a:ext cx="1425121" cy="429231"/>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10</xdr:col>
      <xdr:colOff>168271</xdr:colOff>
      <xdr:row>3</xdr:row>
      <xdr:rowOff>89144</xdr:rowOff>
    </xdr:from>
    <xdr:to>
      <xdr:col>12</xdr:col>
      <xdr:colOff>51399</xdr:colOff>
      <xdr:row>5</xdr:row>
      <xdr:rowOff>137375</xdr:rowOff>
    </xdr:to>
    <xdr:sp macro="" textlink="">
      <xdr:nvSpPr>
        <xdr:cNvPr id="11" name="Rectangle 22">
          <a:hlinkClick xmlns:r="http://schemas.openxmlformats.org/officeDocument/2006/relationships" r:id="rId7"/>
        </xdr:cNvPr>
        <xdr:cNvSpPr/>
      </xdr:nvSpPr>
      <xdr:spPr>
        <a:xfrm>
          <a:off x="13408021" y="1189811"/>
          <a:ext cx="1110795" cy="429231"/>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12</xdr:col>
      <xdr:colOff>42328</xdr:colOff>
      <xdr:row>3</xdr:row>
      <xdr:rowOff>74081</xdr:rowOff>
    </xdr:from>
    <xdr:to>
      <xdr:col>13</xdr:col>
      <xdr:colOff>503459</xdr:colOff>
      <xdr:row>5</xdr:row>
      <xdr:rowOff>124428</xdr:rowOff>
    </xdr:to>
    <xdr:sp macro="" textlink="">
      <xdr:nvSpPr>
        <xdr:cNvPr id="12" name="Rectangle 22">
          <a:hlinkClick xmlns:r="http://schemas.openxmlformats.org/officeDocument/2006/relationships" r:id="rId8"/>
        </xdr:cNvPr>
        <xdr:cNvSpPr/>
      </xdr:nvSpPr>
      <xdr:spPr>
        <a:xfrm>
          <a:off x="14509745" y="1174748"/>
          <a:ext cx="1074964"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1</xdr:col>
      <xdr:colOff>0</xdr:colOff>
      <xdr:row>3</xdr:row>
      <xdr:rowOff>78259</xdr:rowOff>
    </xdr:from>
    <xdr:to>
      <xdr:col>1</xdr:col>
      <xdr:colOff>1100667</xdr:colOff>
      <xdr:row>5</xdr:row>
      <xdr:rowOff>125884</xdr:rowOff>
    </xdr:to>
    <xdr:sp macro="" textlink="">
      <xdr:nvSpPr>
        <xdr:cNvPr id="13" name="Rectangle 22">
          <a:hlinkClick xmlns:r="http://schemas.openxmlformats.org/officeDocument/2006/relationships" r:id="rId9"/>
        </xdr:cNvPr>
        <xdr:cNvSpPr/>
      </xdr:nvSpPr>
      <xdr:spPr>
        <a:xfrm>
          <a:off x="423333" y="1178926"/>
          <a:ext cx="1100667"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895350</xdr:colOff>
      <xdr:row>3</xdr:row>
      <xdr:rowOff>85725</xdr:rowOff>
    </xdr:from>
    <xdr:to>
      <xdr:col>3</xdr:col>
      <xdr:colOff>377524</xdr:colOff>
      <xdr:row>5</xdr:row>
      <xdr:rowOff>133956</xdr:rowOff>
    </xdr:to>
    <xdr:sp macro="" textlink="">
      <xdr:nvSpPr>
        <xdr:cNvPr id="5" name="Rectangle 22">
          <a:hlinkClick xmlns:r="http://schemas.openxmlformats.org/officeDocument/2006/relationships" r:id="rId1"/>
        </xdr:cNvPr>
        <xdr:cNvSpPr/>
      </xdr:nvSpPr>
      <xdr:spPr>
        <a:xfrm>
          <a:off x="1504950" y="1085850"/>
          <a:ext cx="1101424" cy="429231"/>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lientData/>
  </xdr:twoCellAnchor>
  <xdr:twoCellAnchor>
    <xdr:from>
      <xdr:col>3</xdr:col>
      <xdr:colOff>366638</xdr:colOff>
      <xdr:row>3</xdr:row>
      <xdr:rowOff>102054</xdr:rowOff>
    </xdr:from>
    <xdr:to>
      <xdr:col>5</xdr:col>
      <xdr:colOff>568325</xdr:colOff>
      <xdr:row>5</xdr:row>
      <xdr:rowOff>150285</xdr:rowOff>
    </xdr:to>
    <xdr:sp macro="" textlink="">
      <xdr:nvSpPr>
        <xdr:cNvPr id="6" name="Rectangle 22">
          <a:hlinkClick xmlns:r="http://schemas.openxmlformats.org/officeDocument/2006/relationships" r:id="rId2"/>
        </xdr:cNvPr>
        <xdr:cNvSpPr/>
      </xdr:nvSpPr>
      <xdr:spPr>
        <a:xfrm>
          <a:off x="1671563" y="1102179"/>
          <a:ext cx="1420887"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5</xdr:col>
      <xdr:colOff>546554</xdr:colOff>
      <xdr:row>3</xdr:row>
      <xdr:rowOff>104775</xdr:rowOff>
    </xdr:from>
    <xdr:to>
      <xdr:col>8</xdr:col>
      <xdr:colOff>1521884</xdr:colOff>
      <xdr:row>5</xdr:row>
      <xdr:rowOff>153006</xdr:rowOff>
    </xdr:to>
    <xdr:sp macro="" textlink="">
      <xdr:nvSpPr>
        <xdr:cNvPr id="7" name="Rectangle 22">
          <a:hlinkClick xmlns:r="http://schemas.openxmlformats.org/officeDocument/2006/relationships" r:id="rId3"/>
        </xdr:cNvPr>
        <xdr:cNvSpPr/>
      </xdr:nvSpPr>
      <xdr:spPr>
        <a:xfrm>
          <a:off x="3070679" y="1104900"/>
          <a:ext cx="2794605" cy="429231"/>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8</xdr:col>
      <xdr:colOff>1489227</xdr:colOff>
      <xdr:row>3</xdr:row>
      <xdr:rowOff>93889</xdr:rowOff>
    </xdr:from>
    <xdr:to>
      <xdr:col>9</xdr:col>
      <xdr:colOff>2089906</xdr:colOff>
      <xdr:row>5</xdr:row>
      <xdr:rowOff>151644</xdr:rowOff>
    </xdr:to>
    <xdr:sp macro="" textlink="">
      <xdr:nvSpPr>
        <xdr:cNvPr id="8" name="Rectangle 22">
          <a:hlinkClick xmlns:r="http://schemas.openxmlformats.org/officeDocument/2006/relationships" r:id="rId4"/>
        </xdr:cNvPr>
        <xdr:cNvSpPr/>
      </xdr:nvSpPr>
      <xdr:spPr>
        <a:xfrm>
          <a:off x="5832627" y="1094014"/>
          <a:ext cx="2800954" cy="438755"/>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9</xdr:col>
      <xdr:colOff>2045003</xdr:colOff>
      <xdr:row>3</xdr:row>
      <xdr:rowOff>111578</xdr:rowOff>
    </xdr:from>
    <xdr:to>
      <xdr:col>10</xdr:col>
      <xdr:colOff>466725</xdr:colOff>
      <xdr:row>5</xdr:row>
      <xdr:rowOff>159809</xdr:rowOff>
    </xdr:to>
    <xdr:sp macro="" textlink="">
      <xdr:nvSpPr>
        <xdr:cNvPr id="9" name="Rectangle 22">
          <a:hlinkClick xmlns:r="http://schemas.openxmlformats.org/officeDocument/2006/relationships" r:id="rId5"/>
        </xdr:cNvPr>
        <xdr:cNvSpPr/>
      </xdr:nvSpPr>
      <xdr:spPr>
        <a:xfrm>
          <a:off x="10169828" y="1111703"/>
          <a:ext cx="1450672"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10</xdr:col>
      <xdr:colOff>457200</xdr:colOff>
      <xdr:row>3</xdr:row>
      <xdr:rowOff>107496</xdr:rowOff>
    </xdr:from>
    <xdr:to>
      <xdr:col>12</xdr:col>
      <xdr:colOff>38099</xdr:colOff>
      <xdr:row>5</xdr:row>
      <xdr:rowOff>155727</xdr:rowOff>
    </xdr:to>
    <xdr:sp macro="" textlink="">
      <xdr:nvSpPr>
        <xdr:cNvPr id="10" name="Rectangle 22">
          <a:hlinkClick xmlns:r="http://schemas.openxmlformats.org/officeDocument/2006/relationships" r:id="rId6"/>
        </xdr:cNvPr>
        <xdr:cNvSpPr/>
      </xdr:nvSpPr>
      <xdr:spPr>
        <a:xfrm>
          <a:off x="11610975" y="1107621"/>
          <a:ext cx="800099" cy="429231"/>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12</xdr:col>
      <xdr:colOff>19050</xdr:colOff>
      <xdr:row>3</xdr:row>
      <xdr:rowOff>104775</xdr:rowOff>
    </xdr:from>
    <xdr:to>
      <xdr:col>14</xdr:col>
      <xdr:colOff>66221</xdr:colOff>
      <xdr:row>5</xdr:row>
      <xdr:rowOff>144841</xdr:rowOff>
    </xdr:to>
    <xdr:sp macro="" textlink="">
      <xdr:nvSpPr>
        <xdr:cNvPr id="11" name="Rectangle 22">
          <a:hlinkClick xmlns:r="http://schemas.openxmlformats.org/officeDocument/2006/relationships" r:id="rId7"/>
        </xdr:cNvPr>
        <xdr:cNvSpPr/>
      </xdr:nvSpPr>
      <xdr:spPr>
        <a:xfrm>
          <a:off x="12392025" y="1104900"/>
          <a:ext cx="1266371" cy="421066"/>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14</xdr:col>
      <xdr:colOff>76200</xdr:colOff>
      <xdr:row>3</xdr:row>
      <xdr:rowOff>85725</xdr:rowOff>
    </xdr:from>
    <xdr:to>
      <xdr:col>15</xdr:col>
      <xdr:colOff>541565</xdr:colOff>
      <xdr:row>5</xdr:row>
      <xdr:rowOff>136072</xdr:rowOff>
    </xdr:to>
    <xdr:sp macro="" textlink="">
      <xdr:nvSpPr>
        <xdr:cNvPr id="12" name="Rectangle 22">
          <a:hlinkClick xmlns:r="http://schemas.openxmlformats.org/officeDocument/2006/relationships" r:id="rId8"/>
        </xdr:cNvPr>
        <xdr:cNvSpPr/>
      </xdr:nvSpPr>
      <xdr:spPr>
        <a:xfrm>
          <a:off x="13668375" y="1085850"/>
          <a:ext cx="1074965"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0</xdr:col>
      <xdr:colOff>866775</xdr:colOff>
      <xdr:row>3</xdr:row>
      <xdr:rowOff>76200</xdr:rowOff>
    </xdr:from>
    <xdr:to>
      <xdr:col>1</xdr:col>
      <xdr:colOff>1123949</xdr:colOff>
      <xdr:row>5</xdr:row>
      <xdr:rowOff>123825</xdr:rowOff>
    </xdr:to>
    <xdr:sp macro="" textlink="">
      <xdr:nvSpPr>
        <xdr:cNvPr id="13" name="Rectangle 22">
          <a:hlinkClick xmlns:r="http://schemas.openxmlformats.org/officeDocument/2006/relationships" r:id="rId9"/>
        </xdr:cNvPr>
        <xdr:cNvSpPr/>
      </xdr:nvSpPr>
      <xdr:spPr>
        <a:xfrm>
          <a:off x="866775" y="1076325"/>
          <a:ext cx="1133474"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twoCellAnchor>
    <xdr:from>
      <xdr:col>9</xdr:col>
      <xdr:colOff>2043801</xdr:colOff>
      <xdr:row>3</xdr:row>
      <xdr:rowOff>99580</xdr:rowOff>
    </xdr:from>
    <xdr:to>
      <xdr:col>10</xdr:col>
      <xdr:colOff>458931</xdr:colOff>
      <xdr:row>3</xdr:row>
      <xdr:rowOff>100676</xdr:rowOff>
    </xdr:to>
    <xdr:cxnSp macro="">
      <xdr:nvCxnSpPr>
        <xdr:cNvPr id="4" name="Straight Connector 23" descr="Line"/>
        <xdr:cNvCxnSpPr/>
      </xdr:nvCxnSpPr>
      <xdr:spPr>
        <a:xfrm flipV="1">
          <a:off x="10170358" y="1099705"/>
          <a:ext cx="1445812" cy="1096"/>
        </a:xfrm>
        <a:prstGeom prst="line">
          <a:avLst/>
        </a:prstGeom>
        <a:solidFill>
          <a:schemeClr val="bg1"/>
        </a:solidFill>
        <a:ln w="28575">
          <a:solidFill>
            <a:schemeClr val="accent4">
              <a:lumMod val="50000"/>
            </a:schemeClr>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1600200</xdr:colOff>
      <xdr:row>2</xdr:row>
      <xdr:rowOff>452438</xdr:rowOff>
    </xdr:from>
    <xdr:to>
      <xdr:col>7</xdr:col>
      <xdr:colOff>2066925</xdr:colOff>
      <xdr:row>2</xdr:row>
      <xdr:rowOff>456522</xdr:rowOff>
    </xdr:to>
    <xdr:cxnSp macro="">
      <xdr:nvCxnSpPr>
        <xdr:cNvPr id="4" name="Straight Connector 23" descr="Line"/>
        <xdr:cNvCxnSpPr/>
      </xdr:nvCxnSpPr>
      <xdr:spPr>
        <a:xfrm flipV="1">
          <a:off x="5838825" y="1100138"/>
          <a:ext cx="2771775" cy="4084"/>
        </a:xfrm>
        <a:prstGeom prst="line">
          <a:avLst/>
        </a:prstGeom>
        <a:solidFill>
          <a:schemeClr val="bg1"/>
        </a:solidFill>
        <a:ln w="28575">
          <a:solidFill>
            <a:schemeClr val="accent6">
              <a:lumMod val="50000"/>
            </a:schemeClr>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1369218</xdr:colOff>
      <xdr:row>3</xdr:row>
      <xdr:rowOff>0</xdr:rowOff>
    </xdr:from>
    <xdr:to>
      <xdr:col>3</xdr:col>
      <xdr:colOff>234647</xdr:colOff>
      <xdr:row>5</xdr:row>
      <xdr:rowOff>48231</xdr:rowOff>
    </xdr:to>
    <xdr:sp macro="" textlink="">
      <xdr:nvSpPr>
        <xdr:cNvPr id="5" name="Rectangle 22">
          <a:hlinkClick xmlns:r="http://schemas.openxmlformats.org/officeDocument/2006/relationships" r:id="rId1"/>
        </xdr:cNvPr>
        <xdr:cNvSpPr/>
      </xdr:nvSpPr>
      <xdr:spPr>
        <a:xfrm>
          <a:off x="2059781" y="1095375"/>
          <a:ext cx="1556241" cy="429231"/>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lientData/>
  </xdr:twoCellAnchor>
  <xdr:twoCellAnchor>
    <xdr:from>
      <xdr:col>3</xdr:col>
      <xdr:colOff>223763</xdr:colOff>
      <xdr:row>3</xdr:row>
      <xdr:rowOff>16329</xdr:rowOff>
    </xdr:from>
    <xdr:to>
      <xdr:col>5</xdr:col>
      <xdr:colOff>282575</xdr:colOff>
      <xdr:row>5</xdr:row>
      <xdr:rowOff>64560</xdr:rowOff>
    </xdr:to>
    <xdr:sp macro="" textlink="">
      <xdr:nvSpPr>
        <xdr:cNvPr id="6" name="Rectangle 22">
          <a:hlinkClick xmlns:r="http://schemas.openxmlformats.org/officeDocument/2006/relationships" r:id="rId2"/>
        </xdr:cNvPr>
        <xdr:cNvSpPr/>
      </xdr:nvSpPr>
      <xdr:spPr>
        <a:xfrm>
          <a:off x="1671563" y="1121229"/>
          <a:ext cx="1420887"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5</xdr:col>
      <xdr:colOff>260804</xdr:colOff>
      <xdr:row>3</xdr:row>
      <xdr:rowOff>19050</xdr:rowOff>
    </xdr:from>
    <xdr:to>
      <xdr:col>6</xdr:col>
      <xdr:colOff>1626659</xdr:colOff>
      <xdr:row>5</xdr:row>
      <xdr:rowOff>67281</xdr:rowOff>
    </xdr:to>
    <xdr:sp macro="" textlink="">
      <xdr:nvSpPr>
        <xdr:cNvPr id="7" name="Rectangle 22">
          <a:hlinkClick xmlns:r="http://schemas.openxmlformats.org/officeDocument/2006/relationships" r:id="rId3"/>
        </xdr:cNvPr>
        <xdr:cNvSpPr/>
      </xdr:nvSpPr>
      <xdr:spPr>
        <a:xfrm>
          <a:off x="3070679" y="1123950"/>
          <a:ext cx="2794605" cy="429231"/>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6</xdr:col>
      <xdr:colOff>1594002</xdr:colOff>
      <xdr:row>3</xdr:row>
      <xdr:rowOff>8164</xdr:rowOff>
    </xdr:from>
    <xdr:to>
      <xdr:col>7</xdr:col>
      <xdr:colOff>2089906</xdr:colOff>
      <xdr:row>5</xdr:row>
      <xdr:rowOff>65919</xdr:rowOff>
    </xdr:to>
    <xdr:sp macro="" textlink="">
      <xdr:nvSpPr>
        <xdr:cNvPr id="8" name="Rectangle 22">
          <a:hlinkClick xmlns:r="http://schemas.openxmlformats.org/officeDocument/2006/relationships" r:id="rId4"/>
        </xdr:cNvPr>
        <xdr:cNvSpPr/>
      </xdr:nvSpPr>
      <xdr:spPr>
        <a:xfrm>
          <a:off x="5832627" y="1113064"/>
          <a:ext cx="2800954" cy="438755"/>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7</xdr:col>
      <xdr:colOff>2051806</xdr:colOff>
      <xdr:row>3</xdr:row>
      <xdr:rowOff>19050</xdr:rowOff>
    </xdr:from>
    <xdr:to>
      <xdr:col>8</xdr:col>
      <xdr:colOff>276527</xdr:colOff>
      <xdr:row>5</xdr:row>
      <xdr:rowOff>67281</xdr:rowOff>
    </xdr:to>
    <xdr:sp macro="" textlink="">
      <xdr:nvSpPr>
        <xdr:cNvPr id="9" name="Rectangle 22">
          <a:hlinkClick xmlns:r="http://schemas.openxmlformats.org/officeDocument/2006/relationships" r:id="rId5"/>
        </xdr:cNvPr>
        <xdr:cNvSpPr/>
      </xdr:nvSpPr>
      <xdr:spPr>
        <a:xfrm>
          <a:off x="8595481" y="1123950"/>
          <a:ext cx="1425121"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8</xdr:col>
      <xdr:colOff>236916</xdr:colOff>
      <xdr:row>3</xdr:row>
      <xdr:rowOff>21771</xdr:rowOff>
    </xdr:from>
    <xdr:to>
      <xdr:col>10</xdr:col>
      <xdr:colOff>442837</xdr:colOff>
      <xdr:row>5</xdr:row>
      <xdr:rowOff>70002</xdr:rowOff>
    </xdr:to>
    <xdr:sp macro="" textlink="">
      <xdr:nvSpPr>
        <xdr:cNvPr id="10" name="Rectangle 22">
          <a:hlinkClick xmlns:r="http://schemas.openxmlformats.org/officeDocument/2006/relationships" r:id="rId6"/>
        </xdr:cNvPr>
        <xdr:cNvSpPr/>
      </xdr:nvSpPr>
      <xdr:spPr>
        <a:xfrm>
          <a:off x="9980991" y="1126671"/>
          <a:ext cx="1425121" cy="429231"/>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10</xdr:col>
      <xdr:colOff>407459</xdr:colOff>
      <xdr:row>3</xdr:row>
      <xdr:rowOff>10885</xdr:rowOff>
    </xdr:from>
    <xdr:to>
      <xdr:col>12</xdr:col>
      <xdr:colOff>609146</xdr:colOff>
      <xdr:row>5</xdr:row>
      <xdr:rowOff>59116</xdr:rowOff>
    </xdr:to>
    <xdr:sp macro="" textlink="">
      <xdr:nvSpPr>
        <xdr:cNvPr id="11" name="Rectangle 22">
          <a:hlinkClick xmlns:r="http://schemas.openxmlformats.org/officeDocument/2006/relationships" r:id="rId7"/>
        </xdr:cNvPr>
        <xdr:cNvSpPr/>
      </xdr:nvSpPr>
      <xdr:spPr>
        <a:xfrm>
          <a:off x="11370734" y="1115785"/>
          <a:ext cx="1420887" cy="429231"/>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13</xdr:col>
      <xdr:colOff>0</xdr:colOff>
      <xdr:row>3</xdr:row>
      <xdr:rowOff>0</xdr:rowOff>
    </xdr:from>
    <xdr:to>
      <xdr:col>14</xdr:col>
      <xdr:colOff>465365</xdr:colOff>
      <xdr:row>5</xdr:row>
      <xdr:rowOff>50347</xdr:rowOff>
    </xdr:to>
    <xdr:sp macro="" textlink="">
      <xdr:nvSpPr>
        <xdr:cNvPr id="12" name="Rectangle 22">
          <a:hlinkClick xmlns:r="http://schemas.openxmlformats.org/officeDocument/2006/relationships" r:id="rId8"/>
        </xdr:cNvPr>
        <xdr:cNvSpPr/>
      </xdr:nvSpPr>
      <xdr:spPr>
        <a:xfrm>
          <a:off x="13630275" y="1104900"/>
          <a:ext cx="1074965"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1</xdr:col>
      <xdr:colOff>2381</xdr:colOff>
      <xdr:row>2</xdr:row>
      <xdr:rowOff>428624</xdr:rowOff>
    </xdr:from>
    <xdr:to>
      <xdr:col>1</xdr:col>
      <xdr:colOff>1404937</xdr:colOff>
      <xdr:row>5</xdr:row>
      <xdr:rowOff>23812</xdr:rowOff>
    </xdr:to>
    <xdr:sp macro="" textlink="">
      <xdr:nvSpPr>
        <xdr:cNvPr id="13" name="Rectangle 22">
          <a:hlinkClick xmlns:r="http://schemas.openxmlformats.org/officeDocument/2006/relationships" r:id="rId9"/>
        </xdr:cNvPr>
        <xdr:cNvSpPr/>
      </xdr:nvSpPr>
      <xdr:spPr>
        <a:xfrm>
          <a:off x="692944" y="1071562"/>
          <a:ext cx="1402556"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2</xdr:row>
      <xdr:rowOff>95250</xdr:rowOff>
    </xdr:from>
    <xdr:to>
      <xdr:col>13</xdr:col>
      <xdr:colOff>178593</xdr:colOff>
      <xdr:row>2</xdr:row>
      <xdr:rowOff>97309</xdr:rowOff>
    </xdr:to>
    <xdr:cxnSp macro="">
      <xdr:nvCxnSpPr>
        <xdr:cNvPr id="4" name="Straight Connector 23" descr="Line"/>
        <xdr:cNvCxnSpPr/>
      </xdr:nvCxnSpPr>
      <xdr:spPr>
        <a:xfrm flipV="1">
          <a:off x="9965531" y="1012031"/>
          <a:ext cx="1393031" cy="2059"/>
        </a:xfrm>
        <a:prstGeom prst="line">
          <a:avLst/>
        </a:prstGeom>
        <a:solidFill>
          <a:schemeClr val="bg1"/>
        </a:solidFill>
        <a:ln w="28575">
          <a:solidFill>
            <a:srgbClr val="CDD204"/>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1185334</xdr:colOff>
      <xdr:row>2</xdr:row>
      <xdr:rowOff>123825</xdr:rowOff>
    </xdr:from>
    <xdr:to>
      <xdr:col>2</xdr:col>
      <xdr:colOff>463248</xdr:colOff>
      <xdr:row>4</xdr:row>
      <xdr:rowOff>172056</xdr:rowOff>
    </xdr:to>
    <xdr:sp macro="" textlink="">
      <xdr:nvSpPr>
        <xdr:cNvPr id="12" name="Rectangle 22">
          <a:hlinkClick xmlns:r="http://schemas.openxmlformats.org/officeDocument/2006/relationships" r:id="rId1"/>
        </xdr:cNvPr>
        <xdr:cNvSpPr/>
      </xdr:nvSpPr>
      <xdr:spPr>
        <a:xfrm>
          <a:off x="1799167" y="1033992"/>
          <a:ext cx="1331081" cy="429231"/>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lientData/>
  </xdr:twoCellAnchor>
  <xdr:twoCellAnchor>
    <xdr:from>
      <xdr:col>2</xdr:col>
      <xdr:colOff>452363</xdr:colOff>
      <xdr:row>2</xdr:row>
      <xdr:rowOff>111579</xdr:rowOff>
    </xdr:from>
    <xdr:to>
      <xdr:col>4</xdr:col>
      <xdr:colOff>482600</xdr:colOff>
      <xdr:row>4</xdr:row>
      <xdr:rowOff>159810</xdr:rowOff>
    </xdr:to>
    <xdr:sp macro="" textlink="">
      <xdr:nvSpPr>
        <xdr:cNvPr id="13" name="Rectangle 22">
          <a:hlinkClick xmlns:r="http://schemas.openxmlformats.org/officeDocument/2006/relationships" r:id="rId2"/>
        </xdr:cNvPr>
        <xdr:cNvSpPr/>
      </xdr:nvSpPr>
      <xdr:spPr>
        <a:xfrm>
          <a:off x="1671563" y="1025979"/>
          <a:ext cx="1420887"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4</xdr:col>
      <xdr:colOff>460829</xdr:colOff>
      <xdr:row>2</xdr:row>
      <xdr:rowOff>114300</xdr:rowOff>
    </xdr:from>
    <xdr:to>
      <xdr:col>7</xdr:col>
      <xdr:colOff>436034</xdr:colOff>
      <xdr:row>4</xdr:row>
      <xdr:rowOff>162531</xdr:rowOff>
    </xdr:to>
    <xdr:sp macro="" textlink="">
      <xdr:nvSpPr>
        <xdr:cNvPr id="14" name="Rectangle 22">
          <a:hlinkClick xmlns:r="http://schemas.openxmlformats.org/officeDocument/2006/relationships" r:id="rId3"/>
        </xdr:cNvPr>
        <xdr:cNvSpPr/>
      </xdr:nvSpPr>
      <xdr:spPr>
        <a:xfrm>
          <a:off x="3070679" y="1028700"/>
          <a:ext cx="2794605" cy="429231"/>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7</xdr:col>
      <xdr:colOff>403377</xdr:colOff>
      <xdr:row>2</xdr:row>
      <xdr:rowOff>103414</xdr:rowOff>
    </xdr:from>
    <xdr:to>
      <xdr:col>8</xdr:col>
      <xdr:colOff>1146931</xdr:colOff>
      <xdr:row>4</xdr:row>
      <xdr:rowOff>161169</xdr:rowOff>
    </xdr:to>
    <xdr:sp macro="" textlink="">
      <xdr:nvSpPr>
        <xdr:cNvPr id="15" name="Rectangle 22">
          <a:hlinkClick xmlns:r="http://schemas.openxmlformats.org/officeDocument/2006/relationships" r:id="rId4"/>
        </xdr:cNvPr>
        <xdr:cNvSpPr/>
      </xdr:nvSpPr>
      <xdr:spPr>
        <a:xfrm>
          <a:off x="5832627" y="1017814"/>
          <a:ext cx="2800954" cy="438755"/>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8</xdr:col>
      <xdr:colOff>1108831</xdr:colOff>
      <xdr:row>2</xdr:row>
      <xdr:rowOff>114300</xdr:rowOff>
    </xdr:from>
    <xdr:to>
      <xdr:col>11</xdr:col>
      <xdr:colOff>47927</xdr:colOff>
      <xdr:row>4</xdr:row>
      <xdr:rowOff>162531</xdr:rowOff>
    </xdr:to>
    <xdr:sp macro="" textlink="">
      <xdr:nvSpPr>
        <xdr:cNvPr id="16" name="Rectangle 22">
          <a:hlinkClick xmlns:r="http://schemas.openxmlformats.org/officeDocument/2006/relationships" r:id="rId5"/>
        </xdr:cNvPr>
        <xdr:cNvSpPr/>
      </xdr:nvSpPr>
      <xdr:spPr>
        <a:xfrm>
          <a:off x="8595481" y="1028700"/>
          <a:ext cx="1425121"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11</xdr:col>
      <xdr:colOff>8316</xdr:colOff>
      <xdr:row>2</xdr:row>
      <xdr:rowOff>117021</xdr:rowOff>
    </xdr:from>
    <xdr:to>
      <xdr:col>13</xdr:col>
      <xdr:colOff>214237</xdr:colOff>
      <xdr:row>4</xdr:row>
      <xdr:rowOff>165252</xdr:rowOff>
    </xdr:to>
    <xdr:sp macro="" textlink="">
      <xdr:nvSpPr>
        <xdr:cNvPr id="17" name="Rectangle 22">
          <a:hlinkClick xmlns:r="http://schemas.openxmlformats.org/officeDocument/2006/relationships" r:id="rId6"/>
        </xdr:cNvPr>
        <xdr:cNvSpPr/>
      </xdr:nvSpPr>
      <xdr:spPr>
        <a:xfrm>
          <a:off x="9980991" y="1031421"/>
          <a:ext cx="1425121" cy="429231"/>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13</xdr:col>
      <xdr:colOff>178859</xdr:colOff>
      <xdr:row>2</xdr:row>
      <xdr:rowOff>106135</xdr:rowOff>
    </xdr:from>
    <xdr:to>
      <xdr:col>15</xdr:col>
      <xdr:colOff>380546</xdr:colOff>
      <xdr:row>4</xdr:row>
      <xdr:rowOff>154366</xdr:rowOff>
    </xdr:to>
    <xdr:sp macro="" textlink="">
      <xdr:nvSpPr>
        <xdr:cNvPr id="18" name="Rectangle 22">
          <a:hlinkClick xmlns:r="http://schemas.openxmlformats.org/officeDocument/2006/relationships" r:id="rId7"/>
        </xdr:cNvPr>
        <xdr:cNvSpPr/>
      </xdr:nvSpPr>
      <xdr:spPr>
        <a:xfrm>
          <a:off x="11370734" y="1020535"/>
          <a:ext cx="1420887" cy="429231"/>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15</xdr:col>
      <xdr:colOff>391588</xdr:colOff>
      <xdr:row>2</xdr:row>
      <xdr:rowOff>95247</xdr:rowOff>
    </xdr:from>
    <xdr:to>
      <xdr:col>17</xdr:col>
      <xdr:colOff>238886</xdr:colOff>
      <xdr:row>4</xdr:row>
      <xdr:rowOff>145594</xdr:rowOff>
    </xdr:to>
    <xdr:sp macro="" textlink="">
      <xdr:nvSpPr>
        <xdr:cNvPr id="10" name="Rectangle 22">
          <a:hlinkClick xmlns:r="http://schemas.openxmlformats.org/officeDocument/2006/relationships" r:id="rId8"/>
        </xdr:cNvPr>
        <xdr:cNvSpPr/>
      </xdr:nvSpPr>
      <xdr:spPr>
        <a:xfrm>
          <a:off x="13028088" y="1005414"/>
          <a:ext cx="1074965"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0</xdr:col>
      <xdr:colOff>613832</xdr:colOff>
      <xdr:row>2</xdr:row>
      <xdr:rowOff>134408</xdr:rowOff>
    </xdr:from>
    <xdr:to>
      <xdr:col>1</xdr:col>
      <xdr:colOff>1175660</xdr:colOff>
      <xdr:row>4</xdr:row>
      <xdr:rowOff>182033</xdr:rowOff>
    </xdr:to>
    <xdr:sp macro="" textlink="">
      <xdr:nvSpPr>
        <xdr:cNvPr id="11" name="Rectangle 22">
          <a:hlinkClick xmlns:r="http://schemas.openxmlformats.org/officeDocument/2006/relationships" r:id="rId9"/>
        </xdr:cNvPr>
        <xdr:cNvSpPr/>
      </xdr:nvSpPr>
      <xdr:spPr>
        <a:xfrm>
          <a:off x="613832" y="1044575"/>
          <a:ext cx="1175661"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2380</xdr:colOff>
      <xdr:row>12</xdr:row>
      <xdr:rowOff>1</xdr:rowOff>
    </xdr:from>
    <xdr:to>
      <xdr:col>2</xdr:col>
      <xdr:colOff>1387929</xdr:colOff>
      <xdr:row>14</xdr:row>
      <xdr:rowOff>9526</xdr:rowOff>
    </xdr:to>
    <xdr:grpSp>
      <xdr:nvGrpSpPr>
        <xdr:cNvPr id="2" name="Sales Data"/>
        <xdr:cNvGrpSpPr/>
      </xdr:nvGrpSpPr>
      <xdr:grpSpPr>
        <a:xfrm>
          <a:off x="2380" y="2845595"/>
          <a:ext cx="4016830" cy="533400"/>
          <a:chOff x="219073" y="866781"/>
          <a:chExt cx="1466851" cy="429283"/>
        </a:xfrm>
        <a:effectLst>
          <a:outerShdw blurRad="50800" dist="25400" dir="17400000" rotWithShape="0">
            <a:schemeClr val="bg1">
              <a:lumMod val="65000"/>
              <a:alpha val="40000"/>
            </a:schemeClr>
          </a:outerShdw>
        </a:effectLst>
      </xdr:grpSpPr>
      <xdr:sp macro="" textlink="">
        <xdr:nvSpPr>
          <xdr:cNvPr id="3"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4"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1109382</xdr:colOff>
      <xdr:row>1</xdr:row>
      <xdr:rowOff>409575</xdr:rowOff>
    </xdr:from>
    <xdr:to>
      <xdr:col>3</xdr:col>
      <xdr:colOff>329899</xdr:colOff>
      <xdr:row>2</xdr:row>
      <xdr:rowOff>381606</xdr:rowOff>
    </xdr:to>
    <xdr:sp macro="" textlink="">
      <xdr:nvSpPr>
        <xdr:cNvPr id="14" name="Rectangle 22">
          <a:hlinkClick xmlns:r="http://schemas.openxmlformats.org/officeDocument/2006/relationships" r:id="rId1"/>
        </xdr:cNvPr>
        <xdr:cNvSpPr/>
      </xdr:nvSpPr>
      <xdr:spPr>
        <a:xfrm>
          <a:off x="1714500" y="600075"/>
          <a:ext cx="2918458" cy="43147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lientData/>
  </xdr:twoCellAnchor>
  <xdr:twoCellAnchor>
    <xdr:from>
      <xdr:col>3</xdr:col>
      <xdr:colOff>319013</xdr:colOff>
      <xdr:row>1</xdr:row>
      <xdr:rowOff>425904</xdr:rowOff>
    </xdr:from>
    <xdr:to>
      <xdr:col>5</xdr:col>
      <xdr:colOff>520700</xdr:colOff>
      <xdr:row>2</xdr:row>
      <xdr:rowOff>397935</xdr:rowOff>
    </xdr:to>
    <xdr:sp macro="" textlink="">
      <xdr:nvSpPr>
        <xdr:cNvPr id="15" name="Rectangle 22">
          <a:hlinkClick xmlns:r="http://schemas.openxmlformats.org/officeDocument/2006/relationships" r:id="rId2"/>
        </xdr:cNvPr>
        <xdr:cNvSpPr/>
      </xdr:nvSpPr>
      <xdr:spPr>
        <a:xfrm>
          <a:off x="1671563" y="616404"/>
          <a:ext cx="1420887" cy="429231"/>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5</xdr:col>
      <xdr:colOff>498929</xdr:colOff>
      <xdr:row>1</xdr:row>
      <xdr:rowOff>428625</xdr:rowOff>
    </xdr:from>
    <xdr:to>
      <xdr:col>6</xdr:col>
      <xdr:colOff>464344</xdr:colOff>
      <xdr:row>2</xdr:row>
      <xdr:rowOff>400656</xdr:rowOff>
    </xdr:to>
    <xdr:sp macro="" textlink="">
      <xdr:nvSpPr>
        <xdr:cNvPr id="16" name="Rectangle 22">
          <a:hlinkClick xmlns:r="http://schemas.openxmlformats.org/officeDocument/2006/relationships" r:id="rId3"/>
        </xdr:cNvPr>
        <xdr:cNvSpPr/>
      </xdr:nvSpPr>
      <xdr:spPr>
        <a:xfrm>
          <a:off x="10107273" y="619125"/>
          <a:ext cx="3120571" cy="424469"/>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6</xdr:col>
      <xdr:colOff>453393</xdr:colOff>
      <xdr:row>1</xdr:row>
      <xdr:rowOff>417739</xdr:rowOff>
    </xdr:from>
    <xdr:to>
      <xdr:col>8</xdr:col>
      <xdr:colOff>369104</xdr:colOff>
      <xdr:row>2</xdr:row>
      <xdr:rowOff>399294</xdr:rowOff>
    </xdr:to>
    <xdr:sp macro="" textlink="">
      <xdr:nvSpPr>
        <xdr:cNvPr id="17" name="Rectangle 22">
          <a:hlinkClick xmlns:r="http://schemas.openxmlformats.org/officeDocument/2006/relationships" r:id="rId4"/>
        </xdr:cNvPr>
        <xdr:cNvSpPr/>
      </xdr:nvSpPr>
      <xdr:spPr>
        <a:xfrm>
          <a:off x="13216893" y="608239"/>
          <a:ext cx="2213617" cy="433993"/>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8</xdr:col>
      <xdr:colOff>368282</xdr:colOff>
      <xdr:row>1</xdr:row>
      <xdr:rowOff>428625</xdr:rowOff>
    </xdr:from>
    <xdr:to>
      <xdr:col>9</xdr:col>
      <xdr:colOff>1462409</xdr:colOff>
      <xdr:row>2</xdr:row>
      <xdr:rowOff>400656</xdr:rowOff>
    </xdr:to>
    <xdr:sp macro="" textlink="">
      <xdr:nvSpPr>
        <xdr:cNvPr id="18" name="Rectangle 22">
          <a:hlinkClick xmlns:r="http://schemas.openxmlformats.org/officeDocument/2006/relationships" r:id="rId5"/>
        </xdr:cNvPr>
        <xdr:cNvSpPr/>
      </xdr:nvSpPr>
      <xdr:spPr>
        <a:xfrm>
          <a:off x="15429688" y="619125"/>
          <a:ext cx="1701346" cy="424469"/>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9</xdr:col>
      <xdr:colOff>1422798</xdr:colOff>
      <xdr:row>1</xdr:row>
      <xdr:rowOff>431346</xdr:rowOff>
    </xdr:from>
    <xdr:to>
      <xdr:col>11</xdr:col>
      <xdr:colOff>38044</xdr:colOff>
      <xdr:row>2</xdr:row>
      <xdr:rowOff>403377</xdr:rowOff>
    </xdr:to>
    <xdr:sp macro="" textlink="">
      <xdr:nvSpPr>
        <xdr:cNvPr id="19" name="Rectangle 22">
          <a:hlinkClick xmlns:r="http://schemas.openxmlformats.org/officeDocument/2006/relationships" r:id="rId6"/>
        </xdr:cNvPr>
        <xdr:cNvSpPr/>
      </xdr:nvSpPr>
      <xdr:spPr>
        <a:xfrm>
          <a:off x="17091423" y="621846"/>
          <a:ext cx="1425121" cy="424469"/>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11</xdr:col>
      <xdr:colOff>2663</xdr:colOff>
      <xdr:row>1</xdr:row>
      <xdr:rowOff>420460</xdr:rowOff>
    </xdr:from>
    <xdr:to>
      <xdr:col>12</xdr:col>
      <xdr:colOff>287693</xdr:colOff>
      <xdr:row>2</xdr:row>
      <xdr:rowOff>392491</xdr:rowOff>
    </xdr:to>
    <xdr:sp macro="" textlink="">
      <xdr:nvSpPr>
        <xdr:cNvPr id="20" name="Rectangle 22"/>
        <xdr:cNvSpPr/>
      </xdr:nvSpPr>
      <xdr:spPr>
        <a:xfrm>
          <a:off x="18481163" y="610960"/>
          <a:ext cx="1416124" cy="424469"/>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10</xdr:col>
      <xdr:colOff>1165244</xdr:colOff>
      <xdr:row>1</xdr:row>
      <xdr:rowOff>406400</xdr:rowOff>
    </xdr:from>
    <xdr:to>
      <xdr:col>12</xdr:col>
      <xdr:colOff>288150</xdr:colOff>
      <xdr:row>1</xdr:row>
      <xdr:rowOff>406400</xdr:rowOff>
    </xdr:to>
    <xdr:cxnSp macro="">
      <xdr:nvCxnSpPr>
        <xdr:cNvPr id="21" name="Straight Connector 23" descr="Line"/>
        <xdr:cNvCxnSpPr/>
      </xdr:nvCxnSpPr>
      <xdr:spPr>
        <a:xfrm>
          <a:off x="18476932" y="596900"/>
          <a:ext cx="1420812" cy="0"/>
        </a:xfrm>
        <a:prstGeom prst="line">
          <a:avLst/>
        </a:prstGeom>
        <a:solidFill>
          <a:schemeClr val="bg1"/>
        </a:solidFill>
        <a:ln w="28575">
          <a:solidFill>
            <a:schemeClr val="accent5">
              <a:lumMod val="50000"/>
            </a:schemeClr>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clientData/>
  </xdr:twoCellAnchor>
  <xdr:twoCellAnchor>
    <xdr:from>
      <xdr:col>12</xdr:col>
      <xdr:colOff>297672</xdr:colOff>
      <xdr:row>1</xdr:row>
      <xdr:rowOff>404810</xdr:rowOff>
    </xdr:from>
    <xdr:to>
      <xdr:col>13</xdr:col>
      <xdr:colOff>491575</xdr:colOff>
      <xdr:row>2</xdr:row>
      <xdr:rowOff>383719</xdr:rowOff>
    </xdr:to>
    <xdr:sp macro="" textlink="">
      <xdr:nvSpPr>
        <xdr:cNvPr id="22" name="Rectangle 22">
          <a:hlinkClick xmlns:r="http://schemas.openxmlformats.org/officeDocument/2006/relationships" r:id="rId7"/>
        </xdr:cNvPr>
        <xdr:cNvSpPr/>
      </xdr:nvSpPr>
      <xdr:spPr>
        <a:xfrm>
          <a:off x="19907266" y="595310"/>
          <a:ext cx="1074965"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1</xdr:col>
      <xdr:colOff>1</xdr:colOff>
      <xdr:row>1</xdr:row>
      <xdr:rowOff>409575</xdr:rowOff>
    </xdr:from>
    <xdr:to>
      <xdr:col>1</xdr:col>
      <xdr:colOff>1175662</xdr:colOff>
      <xdr:row>2</xdr:row>
      <xdr:rowOff>378759</xdr:rowOff>
    </xdr:to>
    <xdr:sp macro="" textlink="">
      <xdr:nvSpPr>
        <xdr:cNvPr id="23" name="Rectangle 22">
          <a:hlinkClick xmlns:r="http://schemas.openxmlformats.org/officeDocument/2006/relationships" r:id="rId8"/>
        </xdr:cNvPr>
        <xdr:cNvSpPr/>
      </xdr:nvSpPr>
      <xdr:spPr>
        <a:xfrm>
          <a:off x="605119" y="600075"/>
          <a:ext cx="1175661"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twoCellAnchor>
    <xdr:from>
      <xdr:col>1</xdr:col>
      <xdr:colOff>7844</xdr:colOff>
      <xdr:row>2</xdr:row>
      <xdr:rowOff>437030</xdr:rowOff>
    </xdr:from>
    <xdr:to>
      <xdr:col>2</xdr:col>
      <xdr:colOff>1401536</xdr:colOff>
      <xdr:row>5</xdr:row>
      <xdr:rowOff>20733</xdr:rowOff>
    </xdr:to>
    <xdr:grpSp>
      <xdr:nvGrpSpPr>
        <xdr:cNvPr id="33" name="Sales Data"/>
        <xdr:cNvGrpSpPr/>
      </xdr:nvGrpSpPr>
      <xdr:grpSpPr>
        <a:xfrm>
          <a:off x="7844" y="1079968"/>
          <a:ext cx="4024973" cy="417140"/>
          <a:chOff x="-2476761" y="632738"/>
          <a:chExt cx="3739856" cy="466238"/>
        </a:xfrm>
        <a:effectLst>
          <a:outerShdw blurRad="50800" dist="25400" dir="17400000" rotWithShape="0">
            <a:schemeClr val="bg1">
              <a:lumMod val="65000"/>
              <a:alpha val="40000"/>
            </a:schemeClr>
          </a:outerShdw>
        </a:effectLst>
      </xdr:grpSpPr>
      <xdr:sp macro="" textlink="">
        <xdr:nvSpPr>
          <xdr:cNvPr id="34"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35"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23</xdr:row>
      <xdr:rowOff>0</xdr:rowOff>
    </xdr:from>
    <xdr:to>
      <xdr:col>2</xdr:col>
      <xdr:colOff>0</xdr:colOff>
      <xdr:row>26</xdr:row>
      <xdr:rowOff>0</xdr:rowOff>
    </xdr:to>
    <xdr:sp macro="" textlink="">
      <xdr:nvSpPr>
        <xdr:cNvPr id="45" name="Rectangle 22"/>
        <xdr:cNvSpPr/>
      </xdr:nvSpPr>
      <xdr:spPr>
        <a:xfrm>
          <a:off x="2735036" y="5687786"/>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36</xdr:row>
      <xdr:rowOff>1</xdr:rowOff>
    </xdr:from>
    <xdr:to>
      <xdr:col>3</xdr:col>
      <xdr:colOff>0</xdr:colOff>
      <xdr:row>38</xdr:row>
      <xdr:rowOff>9526</xdr:rowOff>
    </xdr:to>
    <xdr:grpSp>
      <xdr:nvGrpSpPr>
        <xdr:cNvPr id="46" name="Sales Data"/>
        <xdr:cNvGrpSpPr/>
      </xdr:nvGrpSpPr>
      <xdr:grpSpPr>
        <a:xfrm>
          <a:off x="2380" y="7881939"/>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47"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48"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26</xdr:row>
      <xdr:rowOff>189380</xdr:rowOff>
    </xdr:from>
    <xdr:to>
      <xdr:col>3</xdr:col>
      <xdr:colOff>0</xdr:colOff>
      <xdr:row>29</xdr:row>
      <xdr:rowOff>20733</xdr:rowOff>
    </xdr:to>
    <xdr:grpSp>
      <xdr:nvGrpSpPr>
        <xdr:cNvPr id="49" name="Sales Data"/>
        <xdr:cNvGrpSpPr/>
      </xdr:nvGrpSpPr>
      <xdr:grpSpPr>
        <a:xfrm>
          <a:off x="7844" y="6059161"/>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50"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51"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47</xdr:row>
      <xdr:rowOff>0</xdr:rowOff>
    </xdr:from>
    <xdr:to>
      <xdr:col>2</xdr:col>
      <xdr:colOff>0</xdr:colOff>
      <xdr:row>50</xdr:row>
      <xdr:rowOff>0</xdr:rowOff>
    </xdr:to>
    <xdr:sp macro="" textlink="">
      <xdr:nvSpPr>
        <xdr:cNvPr id="52" name="Rectangle 22"/>
        <xdr:cNvSpPr/>
      </xdr:nvSpPr>
      <xdr:spPr>
        <a:xfrm>
          <a:off x="2735036" y="10749643"/>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60</xdr:row>
      <xdr:rowOff>1</xdr:rowOff>
    </xdr:from>
    <xdr:to>
      <xdr:col>3</xdr:col>
      <xdr:colOff>0</xdr:colOff>
      <xdr:row>62</xdr:row>
      <xdr:rowOff>9526</xdr:rowOff>
    </xdr:to>
    <xdr:grpSp>
      <xdr:nvGrpSpPr>
        <xdr:cNvPr id="26" name="Sales Data"/>
        <xdr:cNvGrpSpPr/>
      </xdr:nvGrpSpPr>
      <xdr:grpSpPr>
        <a:xfrm>
          <a:off x="2380" y="12453939"/>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27"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28"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50</xdr:row>
      <xdr:rowOff>189380</xdr:rowOff>
    </xdr:from>
    <xdr:to>
      <xdr:col>3</xdr:col>
      <xdr:colOff>0</xdr:colOff>
      <xdr:row>53</xdr:row>
      <xdr:rowOff>20733</xdr:rowOff>
    </xdr:to>
    <xdr:grpSp>
      <xdr:nvGrpSpPr>
        <xdr:cNvPr id="29" name="Sales Data"/>
        <xdr:cNvGrpSpPr/>
      </xdr:nvGrpSpPr>
      <xdr:grpSpPr>
        <a:xfrm>
          <a:off x="7844" y="10738318"/>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30"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31"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71</xdr:row>
      <xdr:rowOff>0</xdr:rowOff>
    </xdr:from>
    <xdr:to>
      <xdr:col>2</xdr:col>
      <xdr:colOff>0</xdr:colOff>
      <xdr:row>74</xdr:row>
      <xdr:rowOff>0</xdr:rowOff>
    </xdr:to>
    <xdr:sp macro="" textlink="">
      <xdr:nvSpPr>
        <xdr:cNvPr id="32" name="Rectangle 22"/>
        <xdr:cNvSpPr/>
      </xdr:nvSpPr>
      <xdr:spPr>
        <a:xfrm>
          <a:off x="2735036" y="10749643"/>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85</xdr:row>
      <xdr:rowOff>1</xdr:rowOff>
    </xdr:from>
    <xdr:to>
      <xdr:col>3</xdr:col>
      <xdr:colOff>0</xdr:colOff>
      <xdr:row>87</xdr:row>
      <xdr:rowOff>9526</xdr:rowOff>
    </xdr:to>
    <xdr:grpSp>
      <xdr:nvGrpSpPr>
        <xdr:cNvPr id="36" name="Sales Data"/>
        <xdr:cNvGrpSpPr/>
      </xdr:nvGrpSpPr>
      <xdr:grpSpPr>
        <a:xfrm>
          <a:off x="2380" y="17323595"/>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37"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38"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75</xdr:row>
      <xdr:rowOff>189380</xdr:rowOff>
    </xdr:from>
    <xdr:to>
      <xdr:col>3</xdr:col>
      <xdr:colOff>0</xdr:colOff>
      <xdr:row>78</xdr:row>
      <xdr:rowOff>20733</xdr:rowOff>
    </xdr:to>
    <xdr:grpSp>
      <xdr:nvGrpSpPr>
        <xdr:cNvPr id="39" name="Sales Data"/>
        <xdr:cNvGrpSpPr/>
      </xdr:nvGrpSpPr>
      <xdr:grpSpPr>
        <a:xfrm>
          <a:off x="7844" y="15500818"/>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40"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41"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96</xdr:row>
      <xdr:rowOff>0</xdr:rowOff>
    </xdr:from>
    <xdr:to>
      <xdr:col>2</xdr:col>
      <xdr:colOff>0</xdr:colOff>
      <xdr:row>99</xdr:row>
      <xdr:rowOff>0</xdr:rowOff>
    </xdr:to>
    <xdr:sp macro="" textlink="">
      <xdr:nvSpPr>
        <xdr:cNvPr id="42" name="Rectangle 22"/>
        <xdr:cNvSpPr/>
      </xdr:nvSpPr>
      <xdr:spPr>
        <a:xfrm>
          <a:off x="2735036" y="10749643"/>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profit</a:t>
          </a:r>
          <a:endParaRPr lang="en-US" sz="1400" b="1">
            <a:solidFill>
              <a:schemeClr val="accent5">
                <a:lumMod val="75000"/>
              </a:schemeClr>
            </a:solidFill>
          </a:endParaRPr>
        </a:p>
      </xdr:txBody>
    </xdr:sp>
    <xdr:clientData/>
  </xdr:twoCellAnchor>
  <xdr:twoCellAnchor>
    <xdr:from>
      <xdr:col>1</xdr:col>
      <xdr:colOff>2380</xdr:colOff>
      <xdr:row>109</xdr:row>
      <xdr:rowOff>1</xdr:rowOff>
    </xdr:from>
    <xdr:to>
      <xdr:col>3</xdr:col>
      <xdr:colOff>0</xdr:colOff>
      <xdr:row>111</xdr:row>
      <xdr:rowOff>9526</xdr:rowOff>
    </xdr:to>
    <xdr:grpSp>
      <xdr:nvGrpSpPr>
        <xdr:cNvPr id="43" name="Sales Data"/>
        <xdr:cNvGrpSpPr/>
      </xdr:nvGrpSpPr>
      <xdr:grpSpPr>
        <a:xfrm>
          <a:off x="2380" y="22002751"/>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44"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53"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99</xdr:row>
      <xdr:rowOff>189380</xdr:rowOff>
    </xdr:from>
    <xdr:to>
      <xdr:col>3</xdr:col>
      <xdr:colOff>0</xdr:colOff>
      <xdr:row>102</xdr:row>
      <xdr:rowOff>20733</xdr:rowOff>
    </xdr:to>
    <xdr:grpSp>
      <xdr:nvGrpSpPr>
        <xdr:cNvPr id="54" name="Sales Data"/>
        <xdr:cNvGrpSpPr/>
      </xdr:nvGrpSpPr>
      <xdr:grpSpPr>
        <a:xfrm>
          <a:off x="7844" y="20179974"/>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55"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56"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120</xdr:row>
      <xdr:rowOff>0</xdr:rowOff>
    </xdr:from>
    <xdr:to>
      <xdr:col>2</xdr:col>
      <xdr:colOff>0</xdr:colOff>
      <xdr:row>123</xdr:row>
      <xdr:rowOff>0</xdr:rowOff>
    </xdr:to>
    <xdr:sp macro="" textlink="">
      <xdr:nvSpPr>
        <xdr:cNvPr id="57" name="Rectangle 22"/>
        <xdr:cNvSpPr/>
      </xdr:nvSpPr>
      <xdr:spPr>
        <a:xfrm>
          <a:off x="2735036" y="15512143"/>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134</xdr:row>
      <xdr:rowOff>1</xdr:rowOff>
    </xdr:from>
    <xdr:to>
      <xdr:col>3</xdr:col>
      <xdr:colOff>0</xdr:colOff>
      <xdr:row>136</xdr:row>
      <xdr:rowOff>9526</xdr:rowOff>
    </xdr:to>
    <xdr:grpSp>
      <xdr:nvGrpSpPr>
        <xdr:cNvPr id="58" name="Sales Data"/>
        <xdr:cNvGrpSpPr/>
      </xdr:nvGrpSpPr>
      <xdr:grpSpPr>
        <a:xfrm>
          <a:off x="2380" y="26872407"/>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59"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60"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124</xdr:row>
      <xdr:rowOff>189380</xdr:rowOff>
    </xdr:from>
    <xdr:to>
      <xdr:col>3</xdr:col>
      <xdr:colOff>0</xdr:colOff>
      <xdr:row>127</xdr:row>
      <xdr:rowOff>20733</xdr:rowOff>
    </xdr:to>
    <xdr:grpSp>
      <xdr:nvGrpSpPr>
        <xdr:cNvPr id="61" name="Sales Data"/>
        <xdr:cNvGrpSpPr/>
      </xdr:nvGrpSpPr>
      <xdr:grpSpPr>
        <a:xfrm>
          <a:off x="7844" y="25049630"/>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62"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63"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145</xdr:row>
      <xdr:rowOff>0</xdr:rowOff>
    </xdr:from>
    <xdr:to>
      <xdr:col>2</xdr:col>
      <xdr:colOff>0</xdr:colOff>
      <xdr:row>148</xdr:row>
      <xdr:rowOff>0</xdr:rowOff>
    </xdr:to>
    <xdr:sp macro="" textlink="">
      <xdr:nvSpPr>
        <xdr:cNvPr id="64" name="Rectangle 22"/>
        <xdr:cNvSpPr/>
      </xdr:nvSpPr>
      <xdr:spPr>
        <a:xfrm>
          <a:off x="2735036" y="20574000"/>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158</xdr:row>
      <xdr:rowOff>1</xdr:rowOff>
    </xdr:from>
    <xdr:to>
      <xdr:col>3</xdr:col>
      <xdr:colOff>0</xdr:colOff>
      <xdr:row>160</xdr:row>
      <xdr:rowOff>9526</xdr:rowOff>
    </xdr:to>
    <xdr:grpSp>
      <xdr:nvGrpSpPr>
        <xdr:cNvPr id="65" name="Sales Data"/>
        <xdr:cNvGrpSpPr/>
      </xdr:nvGrpSpPr>
      <xdr:grpSpPr>
        <a:xfrm>
          <a:off x="2380" y="31551564"/>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66"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67"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148</xdr:row>
      <xdr:rowOff>189380</xdr:rowOff>
    </xdr:from>
    <xdr:to>
      <xdr:col>3</xdr:col>
      <xdr:colOff>0</xdr:colOff>
      <xdr:row>151</xdr:row>
      <xdr:rowOff>20733</xdr:rowOff>
    </xdr:to>
    <xdr:grpSp>
      <xdr:nvGrpSpPr>
        <xdr:cNvPr id="68" name="Sales Data"/>
        <xdr:cNvGrpSpPr/>
      </xdr:nvGrpSpPr>
      <xdr:grpSpPr>
        <a:xfrm>
          <a:off x="7844" y="29728786"/>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69"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70"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169</xdr:row>
      <xdr:rowOff>0</xdr:rowOff>
    </xdr:from>
    <xdr:to>
      <xdr:col>2</xdr:col>
      <xdr:colOff>0</xdr:colOff>
      <xdr:row>172</xdr:row>
      <xdr:rowOff>0</xdr:rowOff>
    </xdr:to>
    <xdr:sp macro="" textlink="">
      <xdr:nvSpPr>
        <xdr:cNvPr id="71" name="Rectangle 22"/>
        <xdr:cNvSpPr/>
      </xdr:nvSpPr>
      <xdr:spPr>
        <a:xfrm>
          <a:off x="2735036" y="15512143"/>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183</xdr:row>
      <xdr:rowOff>1</xdr:rowOff>
    </xdr:from>
    <xdr:to>
      <xdr:col>3</xdr:col>
      <xdr:colOff>0</xdr:colOff>
      <xdr:row>185</xdr:row>
      <xdr:rowOff>9526</xdr:rowOff>
    </xdr:to>
    <xdr:grpSp>
      <xdr:nvGrpSpPr>
        <xdr:cNvPr id="72" name="Sales Data"/>
        <xdr:cNvGrpSpPr/>
      </xdr:nvGrpSpPr>
      <xdr:grpSpPr>
        <a:xfrm>
          <a:off x="2380" y="36421220"/>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73"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74"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173</xdr:row>
      <xdr:rowOff>189380</xdr:rowOff>
    </xdr:from>
    <xdr:to>
      <xdr:col>3</xdr:col>
      <xdr:colOff>0</xdr:colOff>
      <xdr:row>176</xdr:row>
      <xdr:rowOff>20733</xdr:rowOff>
    </xdr:to>
    <xdr:grpSp>
      <xdr:nvGrpSpPr>
        <xdr:cNvPr id="75" name="Sales Data"/>
        <xdr:cNvGrpSpPr/>
      </xdr:nvGrpSpPr>
      <xdr:grpSpPr>
        <a:xfrm>
          <a:off x="7844" y="34598443"/>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76"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77"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194</xdr:row>
      <xdr:rowOff>0</xdr:rowOff>
    </xdr:from>
    <xdr:to>
      <xdr:col>2</xdr:col>
      <xdr:colOff>0</xdr:colOff>
      <xdr:row>197</xdr:row>
      <xdr:rowOff>0</xdr:rowOff>
    </xdr:to>
    <xdr:sp macro="" textlink="">
      <xdr:nvSpPr>
        <xdr:cNvPr id="78" name="Rectangle 22"/>
        <xdr:cNvSpPr/>
      </xdr:nvSpPr>
      <xdr:spPr>
        <a:xfrm>
          <a:off x="2735036" y="20574000"/>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207</xdr:row>
      <xdr:rowOff>1</xdr:rowOff>
    </xdr:from>
    <xdr:to>
      <xdr:col>3</xdr:col>
      <xdr:colOff>0</xdr:colOff>
      <xdr:row>209</xdr:row>
      <xdr:rowOff>9526</xdr:rowOff>
    </xdr:to>
    <xdr:grpSp>
      <xdr:nvGrpSpPr>
        <xdr:cNvPr id="79" name="Sales Data"/>
        <xdr:cNvGrpSpPr/>
      </xdr:nvGrpSpPr>
      <xdr:grpSpPr>
        <a:xfrm>
          <a:off x="2380" y="41100376"/>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80"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81"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197</xdr:row>
      <xdr:rowOff>189380</xdr:rowOff>
    </xdr:from>
    <xdr:to>
      <xdr:col>3</xdr:col>
      <xdr:colOff>0</xdr:colOff>
      <xdr:row>200</xdr:row>
      <xdr:rowOff>20733</xdr:rowOff>
    </xdr:to>
    <xdr:grpSp>
      <xdr:nvGrpSpPr>
        <xdr:cNvPr id="82" name="Sales Data"/>
        <xdr:cNvGrpSpPr/>
      </xdr:nvGrpSpPr>
      <xdr:grpSpPr>
        <a:xfrm>
          <a:off x="7844" y="39277599"/>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83"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84"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218</xdr:row>
      <xdr:rowOff>0</xdr:rowOff>
    </xdr:from>
    <xdr:to>
      <xdr:col>2</xdr:col>
      <xdr:colOff>0</xdr:colOff>
      <xdr:row>221</xdr:row>
      <xdr:rowOff>0</xdr:rowOff>
    </xdr:to>
    <xdr:sp macro="" textlink="">
      <xdr:nvSpPr>
        <xdr:cNvPr id="85" name="Rectangle 22"/>
        <xdr:cNvSpPr/>
      </xdr:nvSpPr>
      <xdr:spPr>
        <a:xfrm>
          <a:off x="2735036" y="15512143"/>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232</xdr:row>
      <xdr:rowOff>1</xdr:rowOff>
    </xdr:from>
    <xdr:to>
      <xdr:col>3</xdr:col>
      <xdr:colOff>0</xdr:colOff>
      <xdr:row>234</xdr:row>
      <xdr:rowOff>9526</xdr:rowOff>
    </xdr:to>
    <xdr:grpSp>
      <xdr:nvGrpSpPr>
        <xdr:cNvPr id="86" name="Sales Data"/>
        <xdr:cNvGrpSpPr/>
      </xdr:nvGrpSpPr>
      <xdr:grpSpPr>
        <a:xfrm>
          <a:off x="2380" y="45970032"/>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87"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88"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222</xdr:row>
      <xdr:rowOff>189380</xdr:rowOff>
    </xdr:from>
    <xdr:to>
      <xdr:col>3</xdr:col>
      <xdr:colOff>0</xdr:colOff>
      <xdr:row>225</xdr:row>
      <xdr:rowOff>20733</xdr:rowOff>
    </xdr:to>
    <xdr:grpSp>
      <xdr:nvGrpSpPr>
        <xdr:cNvPr id="89" name="Sales Data"/>
        <xdr:cNvGrpSpPr/>
      </xdr:nvGrpSpPr>
      <xdr:grpSpPr>
        <a:xfrm>
          <a:off x="7844" y="44147255"/>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90"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91"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243</xdr:row>
      <xdr:rowOff>0</xdr:rowOff>
    </xdr:from>
    <xdr:to>
      <xdr:col>2</xdr:col>
      <xdr:colOff>0</xdr:colOff>
      <xdr:row>246</xdr:row>
      <xdr:rowOff>0</xdr:rowOff>
    </xdr:to>
    <xdr:sp macro="" textlink="">
      <xdr:nvSpPr>
        <xdr:cNvPr id="92" name="Rectangle 22"/>
        <xdr:cNvSpPr/>
      </xdr:nvSpPr>
      <xdr:spPr>
        <a:xfrm>
          <a:off x="2735036" y="20574000"/>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256</xdr:row>
      <xdr:rowOff>1</xdr:rowOff>
    </xdr:from>
    <xdr:to>
      <xdr:col>3</xdr:col>
      <xdr:colOff>0</xdr:colOff>
      <xdr:row>258</xdr:row>
      <xdr:rowOff>9526</xdr:rowOff>
    </xdr:to>
    <xdr:grpSp>
      <xdr:nvGrpSpPr>
        <xdr:cNvPr id="93" name="Sales Data"/>
        <xdr:cNvGrpSpPr/>
      </xdr:nvGrpSpPr>
      <xdr:grpSpPr>
        <a:xfrm>
          <a:off x="2380" y="50649189"/>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94"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95"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246</xdr:row>
      <xdr:rowOff>189380</xdr:rowOff>
    </xdr:from>
    <xdr:to>
      <xdr:col>3</xdr:col>
      <xdr:colOff>0</xdr:colOff>
      <xdr:row>249</xdr:row>
      <xdr:rowOff>20733</xdr:rowOff>
    </xdr:to>
    <xdr:grpSp>
      <xdr:nvGrpSpPr>
        <xdr:cNvPr id="96" name="Sales Data"/>
        <xdr:cNvGrpSpPr/>
      </xdr:nvGrpSpPr>
      <xdr:grpSpPr>
        <a:xfrm>
          <a:off x="7844" y="48826411"/>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97"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98"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267</xdr:row>
      <xdr:rowOff>0</xdr:rowOff>
    </xdr:from>
    <xdr:to>
      <xdr:col>2</xdr:col>
      <xdr:colOff>0</xdr:colOff>
      <xdr:row>270</xdr:row>
      <xdr:rowOff>0</xdr:rowOff>
    </xdr:to>
    <xdr:sp macro="" textlink="">
      <xdr:nvSpPr>
        <xdr:cNvPr id="99" name="Rectangle 22"/>
        <xdr:cNvSpPr/>
      </xdr:nvSpPr>
      <xdr:spPr>
        <a:xfrm>
          <a:off x="2735036" y="15512143"/>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1</xdr:col>
      <xdr:colOff>2380</xdr:colOff>
      <xdr:row>281</xdr:row>
      <xdr:rowOff>1</xdr:rowOff>
    </xdr:from>
    <xdr:to>
      <xdr:col>3</xdr:col>
      <xdr:colOff>0</xdr:colOff>
      <xdr:row>283</xdr:row>
      <xdr:rowOff>9526</xdr:rowOff>
    </xdr:to>
    <xdr:grpSp>
      <xdr:nvGrpSpPr>
        <xdr:cNvPr id="100" name="Sales Data"/>
        <xdr:cNvGrpSpPr/>
      </xdr:nvGrpSpPr>
      <xdr:grpSpPr>
        <a:xfrm>
          <a:off x="2380" y="55518845"/>
          <a:ext cx="4045745" cy="390525"/>
          <a:chOff x="219073" y="866781"/>
          <a:chExt cx="1466851" cy="429283"/>
        </a:xfrm>
        <a:effectLst>
          <a:outerShdw blurRad="50800" dist="25400" dir="17400000" rotWithShape="0">
            <a:schemeClr val="bg1">
              <a:lumMod val="65000"/>
              <a:alpha val="40000"/>
            </a:schemeClr>
          </a:outerShdw>
        </a:effectLst>
      </xdr:grpSpPr>
      <xdr:sp macro="" textlink="">
        <xdr:nvSpPr>
          <xdr:cNvPr id="101" name="Rectangle 22"/>
          <xdr:cNvSpPr/>
        </xdr:nvSpPr>
        <xdr:spPr>
          <a:xfrm>
            <a:off x="219073" y="866781"/>
            <a:ext cx="1466851" cy="429283"/>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EXPENSES</a:t>
            </a:r>
          </a:p>
        </xdr:txBody>
      </xdr:sp>
      <xdr:cxnSp macro="">
        <xdr:nvCxnSpPr>
          <xdr:cNvPr id="102" name="Straight Connector 23" descr="Line"/>
          <xdr:cNvCxnSpPr/>
        </xdr:nvCxnSpPr>
        <xdr:spPr>
          <a:xfrm>
            <a:off x="219073" y="866781"/>
            <a:ext cx="1466851" cy="0"/>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7844</xdr:colOff>
      <xdr:row>271</xdr:row>
      <xdr:rowOff>189380</xdr:rowOff>
    </xdr:from>
    <xdr:to>
      <xdr:col>3</xdr:col>
      <xdr:colOff>0</xdr:colOff>
      <xdr:row>274</xdr:row>
      <xdr:rowOff>20733</xdr:rowOff>
    </xdr:to>
    <xdr:grpSp>
      <xdr:nvGrpSpPr>
        <xdr:cNvPr id="103" name="Sales Data"/>
        <xdr:cNvGrpSpPr/>
      </xdr:nvGrpSpPr>
      <xdr:grpSpPr>
        <a:xfrm>
          <a:off x="7844" y="53696068"/>
          <a:ext cx="4040281" cy="402853"/>
          <a:chOff x="-2476761" y="632738"/>
          <a:chExt cx="3739856" cy="466238"/>
        </a:xfrm>
        <a:effectLst>
          <a:outerShdw blurRad="50800" dist="25400" dir="17400000" rotWithShape="0">
            <a:schemeClr val="bg1">
              <a:lumMod val="65000"/>
              <a:alpha val="40000"/>
            </a:schemeClr>
          </a:outerShdw>
        </a:effectLst>
      </xdr:grpSpPr>
      <xdr:sp macro="" textlink="">
        <xdr:nvSpPr>
          <xdr:cNvPr id="104" name="Rectangle 22"/>
          <xdr:cNvSpPr/>
        </xdr:nvSpPr>
        <xdr:spPr>
          <a:xfrm>
            <a:off x="-2476761" y="669694"/>
            <a:ext cx="3739856" cy="429282"/>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SALES DATA</a:t>
            </a:r>
          </a:p>
        </xdr:txBody>
      </xdr:sp>
      <xdr:cxnSp macro="">
        <xdr:nvCxnSpPr>
          <xdr:cNvPr id="105" name="Straight Connector 23" descr="Line"/>
          <xdr:cNvCxnSpPr/>
        </xdr:nvCxnSpPr>
        <xdr:spPr>
          <a:xfrm>
            <a:off x="-2454890" y="632738"/>
            <a:ext cx="3696114" cy="2"/>
          </a:xfrm>
          <a:prstGeom prst="line">
            <a:avLst/>
          </a:prstGeom>
          <a:solidFill>
            <a:schemeClr val="bg1"/>
          </a:solidFill>
          <a:ln w="28575">
            <a:solidFill>
              <a:srgbClr val="00B050"/>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1</xdr:col>
      <xdr:colOff>0</xdr:colOff>
      <xdr:row>292</xdr:row>
      <xdr:rowOff>0</xdr:rowOff>
    </xdr:from>
    <xdr:to>
      <xdr:col>2</xdr:col>
      <xdr:colOff>0</xdr:colOff>
      <xdr:row>295</xdr:row>
      <xdr:rowOff>0</xdr:rowOff>
    </xdr:to>
    <xdr:sp macro="" textlink="">
      <xdr:nvSpPr>
        <xdr:cNvPr id="106" name="Rectangle 22"/>
        <xdr:cNvSpPr/>
      </xdr:nvSpPr>
      <xdr:spPr>
        <a:xfrm>
          <a:off x="2735036" y="20574000"/>
          <a:ext cx="2626178" cy="57150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rPr>
            <a:t>Monthly</a:t>
          </a:r>
          <a:r>
            <a:rPr lang="en-US" sz="1400" b="1" baseline="0">
              <a:solidFill>
                <a:schemeClr val="accent5">
                  <a:lumMod val="75000"/>
                </a:schemeClr>
              </a:solidFill>
            </a:rPr>
            <a:t> Net profit</a:t>
          </a:r>
          <a:endParaRPr lang="en-US" sz="1400" b="1">
            <a:solidFill>
              <a:schemeClr val="accent5">
                <a:lumMod val="75000"/>
              </a:schemeClr>
            </a:solidFill>
          </a:endParaRPr>
        </a:p>
      </xdr:txBody>
    </xdr:sp>
    <xdr:clientData/>
  </xdr:twoCellAnchor>
  <xdr:twoCellAnchor>
    <xdr:from>
      <xdr:col>3</xdr:col>
      <xdr:colOff>778349</xdr:colOff>
      <xdr:row>3</xdr:row>
      <xdr:rowOff>112159</xdr:rowOff>
    </xdr:from>
    <xdr:to>
      <xdr:col>5</xdr:col>
      <xdr:colOff>2690813</xdr:colOff>
      <xdr:row>6</xdr:row>
      <xdr:rowOff>151379</xdr:rowOff>
    </xdr:to>
    <xdr:sp macro="" textlink="">
      <xdr:nvSpPr>
        <xdr:cNvPr id="114" name="Rectangle 22"/>
        <xdr:cNvSpPr/>
      </xdr:nvSpPr>
      <xdr:spPr>
        <a:xfrm>
          <a:off x="4826474" y="1207534"/>
          <a:ext cx="4734245" cy="610720"/>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accent5">
                  <a:lumMod val="75000"/>
                </a:schemeClr>
              </a:solidFill>
            </a:rPr>
            <a:t>ANNUAL PROFIT INDEX</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35718</xdr:colOff>
      <xdr:row>5</xdr:row>
      <xdr:rowOff>4765</xdr:rowOff>
    </xdr:from>
    <xdr:to>
      <xdr:col>4</xdr:col>
      <xdr:colOff>34624</xdr:colOff>
      <xdr:row>7</xdr:row>
      <xdr:rowOff>48234</xdr:rowOff>
    </xdr:to>
    <xdr:sp macro="" textlink="">
      <xdr:nvSpPr>
        <xdr:cNvPr id="14" name="Rectangle 22">
          <a:hlinkClick xmlns:r="http://schemas.openxmlformats.org/officeDocument/2006/relationships" r:id="rId1"/>
        </xdr:cNvPr>
        <xdr:cNvSpPr/>
      </xdr:nvSpPr>
      <xdr:spPr>
        <a:xfrm>
          <a:off x="1250156" y="1552578"/>
          <a:ext cx="1213343" cy="424469"/>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3"/>
              </a:solidFill>
            </a:rPr>
            <a:t>Daily sales</a:t>
          </a:r>
        </a:p>
      </xdr:txBody>
    </xdr:sp>
    <xdr:clientData/>
  </xdr:twoCellAnchor>
  <xdr:twoCellAnchor>
    <xdr:from>
      <xdr:col>4</xdr:col>
      <xdr:colOff>23738</xdr:colOff>
      <xdr:row>5</xdr:row>
      <xdr:rowOff>21094</xdr:rowOff>
    </xdr:from>
    <xdr:to>
      <xdr:col>7</xdr:col>
      <xdr:colOff>313531</xdr:colOff>
      <xdr:row>7</xdr:row>
      <xdr:rowOff>64563</xdr:rowOff>
    </xdr:to>
    <xdr:sp macro="" textlink="">
      <xdr:nvSpPr>
        <xdr:cNvPr id="15" name="Rectangle 22">
          <a:hlinkClick xmlns:r="http://schemas.openxmlformats.org/officeDocument/2006/relationships" r:id="rId2"/>
        </xdr:cNvPr>
        <xdr:cNvSpPr/>
      </xdr:nvSpPr>
      <xdr:spPr>
        <a:xfrm>
          <a:off x="2462138" y="211594"/>
          <a:ext cx="2118593" cy="424469"/>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Monthly</a:t>
          </a:r>
          <a:r>
            <a:rPr lang="en-US" sz="1400" b="1" baseline="0">
              <a:solidFill>
                <a:schemeClr val="bg1"/>
              </a:solidFill>
            </a:rPr>
            <a:t> sales</a:t>
          </a:r>
          <a:endParaRPr lang="en-US" sz="1400" b="1">
            <a:solidFill>
              <a:schemeClr val="bg1"/>
            </a:solidFill>
          </a:endParaRPr>
        </a:p>
      </xdr:txBody>
    </xdr:sp>
    <xdr:clientData/>
  </xdr:twoCellAnchor>
  <xdr:twoCellAnchor>
    <xdr:from>
      <xdr:col>7</xdr:col>
      <xdr:colOff>291760</xdr:colOff>
      <xdr:row>5</xdr:row>
      <xdr:rowOff>23815</xdr:rowOff>
    </xdr:from>
    <xdr:to>
      <xdr:col>11</xdr:col>
      <xdr:colOff>547688</xdr:colOff>
      <xdr:row>7</xdr:row>
      <xdr:rowOff>67284</xdr:rowOff>
    </xdr:to>
    <xdr:sp macro="" textlink="">
      <xdr:nvSpPr>
        <xdr:cNvPr id="16" name="Rectangle 22">
          <a:hlinkClick xmlns:r="http://schemas.openxmlformats.org/officeDocument/2006/relationships" r:id="rId3"/>
        </xdr:cNvPr>
        <xdr:cNvSpPr/>
      </xdr:nvSpPr>
      <xdr:spPr>
        <a:xfrm>
          <a:off x="4542291" y="1571628"/>
          <a:ext cx="2684803" cy="424469"/>
        </a:xfrm>
        <a:prstGeom prst="rect">
          <a:avLst/>
        </a:prstGeom>
        <a:solidFill>
          <a:srgbClr val="FFC00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Fixed</a:t>
          </a:r>
          <a:r>
            <a:rPr lang="en-US" sz="1400" b="1" baseline="0">
              <a:solidFill>
                <a:schemeClr val="bg1"/>
              </a:solidFill>
            </a:rPr>
            <a:t> materials registration</a:t>
          </a:r>
          <a:endParaRPr lang="en-US" sz="1400" b="1">
            <a:solidFill>
              <a:schemeClr val="bg1"/>
            </a:solidFill>
          </a:endParaRPr>
        </a:p>
      </xdr:txBody>
    </xdr:sp>
    <xdr:clientData/>
  </xdr:twoCellAnchor>
  <xdr:twoCellAnchor>
    <xdr:from>
      <xdr:col>11</xdr:col>
      <xdr:colOff>539114</xdr:colOff>
      <xdr:row>5</xdr:row>
      <xdr:rowOff>12929</xdr:rowOff>
    </xdr:from>
    <xdr:to>
      <xdr:col>15</xdr:col>
      <xdr:colOff>345287</xdr:colOff>
      <xdr:row>7</xdr:row>
      <xdr:rowOff>65922</xdr:rowOff>
    </xdr:to>
    <xdr:sp macro="" textlink="">
      <xdr:nvSpPr>
        <xdr:cNvPr id="17" name="Rectangle 22">
          <a:hlinkClick xmlns:r="http://schemas.openxmlformats.org/officeDocument/2006/relationships" r:id="rId4"/>
        </xdr:cNvPr>
        <xdr:cNvSpPr/>
      </xdr:nvSpPr>
      <xdr:spPr>
        <a:xfrm>
          <a:off x="7218520" y="1560742"/>
          <a:ext cx="2235048" cy="433993"/>
        </a:xfrm>
        <a:prstGeom prst="rect">
          <a:avLst/>
        </a:prstGeom>
        <a:solidFill>
          <a:schemeClr val="accent6">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Salaray of</a:t>
          </a:r>
          <a:r>
            <a:rPr lang="en-US" sz="1400" b="1" baseline="0">
              <a:solidFill>
                <a:schemeClr val="bg1"/>
              </a:solidFill>
            </a:rPr>
            <a:t> employees</a:t>
          </a:r>
          <a:endParaRPr lang="en-US" sz="1400" b="1">
            <a:solidFill>
              <a:schemeClr val="bg1"/>
            </a:solidFill>
          </a:endParaRPr>
        </a:p>
      </xdr:txBody>
    </xdr:sp>
    <xdr:clientData/>
  </xdr:twoCellAnchor>
  <xdr:twoCellAnchor>
    <xdr:from>
      <xdr:col>15</xdr:col>
      <xdr:colOff>296835</xdr:colOff>
      <xdr:row>5</xdr:row>
      <xdr:rowOff>23815</xdr:rowOff>
    </xdr:from>
    <xdr:to>
      <xdr:col>18</xdr:col>
      <xdr:colOff>169380</xdr:colOff>
      <xdr:row>7</xdr:row>
      <xdr:rowOff>67284</xdr:rowOff>
    </xdr:to>
    <xdr:sp macro="" textlink="">
      <xdr:nvSpPr>
        <xdr:cNvPr id="18" name="Rectangle 22">
          <a:hlinkClick xmlns:r="http://schemas.openxmlformats.org/officeDocument/2006/relationships" r:id="rId5"/>
        </xdr:cNvPr>
        <xdr:cNvSpPr/>
      </xdr:nvSpPr>
      <xdr:spPr>
        <a:xfrm>
          <a:off x="9405116" y="1571628"/>
          <a:ext cx="1694202" cy="424469"/>
        </a:xfrm>
        <a:prstGeom prst="rect">
          <a:avLst/>
        </a:prstGeom>
        <a:solidFill>
          <a:schemeClr val="accent4">
            <a:lumMod val="75000"/>
          </a:schemeClr>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Raw materials</a:t>
          </a:r>
        </a:p>
      </xdr:txBody>
    </xdr:sp>
    <xdr:clientData/>
  </xdr:twoCellAnchor>
  <xdr:twoCellAnchor>
    <xdr:from>
      <xdr:col>18</xdr:col>
      <xdr:colOff>129769</xdr:colOff>
      <xdr:row>5</xdr:row>
      <xdr:rowOff>26536</xdr:rowOff>
    </xdr:from>
    <xdr:to>
      <xdr:col>20</xdr:col>
      <xdr:colOff>335691</xdr:colOff>
      <xdr:row>7</xdr:row>
      <xdr:rowOff>70005</xdr:rowOff>
    </xdr:to>
    <xdr:sp macro="" textlink="">
      <xdr:nvSpPr>
        <xdr:cNvPr id="19" name="Rectangle 22">
          <a:hlinkClick xmlns:r="http://schemas.openxmlformats.org/officeDocument/2006/relationships" r:id="rId6"/>
        </xdr:cNvPr>
        <xdr:cNvSpPr/>
      </xdr:nvSpPr>
      <xdr:spPr>
        <a:xfrm>
          <a:off x="11059707" y="1574349"/>
          <a:ext cx="1420359" cy="424469"/>
        </a:xfrm>
        <a:prstGeom prst="rect">
          <a:avLst/>
        </a:prstGeom>
        <a:solidFill>
          <a:srgbClr val="FFFF66"/>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Loan</a:t>
          </a:r>
        </a:p>
      </xdr:txBody>
    </xdr:sp>
    <xdr:clientData/>
  </xdr:twoCellAnchor>
  <xdr:twoCellAnchor>
    <xdr:from>
      <xdr:col>22</xdr:col>
      <xdr:colOff>504831</xdr:colOff>
      <xdr:row>5</xdr:row>
      <xdr:rowOff>0</xdr:rowOff>
    </xdr:from>
    <xdr:to>
      <xdr:col>24</xdr:col>
      <xdr:colOff>362978</xdr:colOff>
      <xdr:row>7</xdr:row>
      <xdr:rowOff>50347</xdr:rowOff>
    </xdr:to>
    <xdr:sp macro="" textlink="">
      <xdr:nvSpPr>
        <xdr:cNvPr id="20" name="Rectangle 22">
          <a:hlinkClick xmlns:r="http://schemas.openxmlformats.org/officeDocument/2006/relationships" r:id="rId7"/>
        </xdr:cNvPr>
        <xdr:cNvSpPr/>
      </xdr:nvSpPr>
      <xdr:spPr>
        <a:xfrm>
          <a:off x="13863644" y="1547813"/>
          <a:ext cx="1072584" cy="431347"/>
        </a:xfrm>
        <a:prstGeom prst="rect">
          <a:avLst/>
        </a:prstGeom>
        <a:solidFill>
          <a:schemeClr val="bg1"/>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B050"/>
              </a:solidFill>
            </a:rPr>
            <a:t>Graphs</a:t>
          </a:r>
        </a:p>
      </xdr:txBody>
    </xdr:sp>
    <xdr:clientData/>
  </xdr:twoCellAnchor>
  <xdr:twoCellAnchor>
    <xdr:from>
      <xdr:col>20</xdr:col>
      <xdr:colOff>331004</xdr:colOff>
      <xdr:row>5</xdr:row>
      <xdr:rowOff>9525</xdr:rowOff>
    </xdr:from>
    <xdr:to>
      <xdr:col>22</xdr:col>
      <xdr:colOff>525546</xdr:colOff>
      <xdr:row>7</xdr:row>
      <xdr:rowOff>52994</xdr:rowOff>
    </xdr:to>
    <xdr:sp macro="" textlink="">
      <xdr:nvSpPr>
        <xdr:cNvPr id="21" name="Rectangle 22">
          <a:hlinkClick xmlns:r="http://schemas.openxmlformats.org/officeDocument/2006/relationships" r:id="rId8"/>
        </xdr:cNvPr>
        <xdr:cNvSpPr/>
      </xdr:nvSpPr>
      <xdr:spPr>
        <a:xfrm>
          <a:off x="12475379" y="1557338"/>
          <a:ext cx="1408980" cy="424469"/>
        </a:xfrm>
        <a:prstGeom prst="rect">
          <a:avLst/>
        </a:prstGeom>
        <a:solidFill>
          <a:srgbClr val="00B050"/>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Profit sheet</a:t>
          </a:r>
        </a:p>
      </xdr:txBody>
    </xdr:sp>
    <xdr:clientData/>
  </xdr:twoCellAnchor>
  <xdr:twoCellAnchor>
    <xdr:from>
      <xdr:col>22</xdr:col>
      <xdr:colOff>517032</xdr:colOff>
      <xdr:row>4</xdr:row>
      <xdr:rowOff>177994</xdr:rowOff>
    </xdr:from>
    <xdr:to>
      <xdr:col>24</xdr:col>
      <xdr:colOff>349905</xdr:colOff>
      <xdr:row>4</xdr:row>
      <xdr:rowOff>178955</xdr:rowOff>
    </xdr:to>
    <xdr:cxnSp macro="">
      <xdr:nvCxnSpPr>
        <xdr:cNvPr id="22" name="Straight Connector 23" descr="Line"/>
        <xdr:cNvCxnSpPr/>
      </xdr:nvCxnSpPr>
      <xdr:spPr>
        <a:xfrm flipV="1">
          <a:off x="13875845" y="1535307"/>
          <a:ext cx="1047310" cy="961"/>
        </a:xfrm>
        <a:prstGeom prst="line">
          <a:avLst/>
        </a:prstGeom>
        <a:solidFill>
          <a:schemeClr val="bg1"/>
        </a:solidFill>
        <a:ln w="28575">
          <a:solidFill>
            <a:schemeClr val="accent5">
              <a:lumMod val="50000"/>
            </a:schemeClr>
          </a:solidFill>
        </a:ln>
        <a:effectLst/>
        <a:scene3d>
          <a:camera prst="orthographicFront">
            <a:rot lat="0" lon="0" rev="0"/>
          </a:camera>
          <a:lightRig rig="threePt" dir="t"/>
        </a:scene3d>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0</xdr:colOff>
      <xdr:row>5</xdr:row>
      <xdr:rowOff>4765</xdr:rowOff>
    </xdr:from>
    <xdr:to>
      <xdr:col>2</xdr:col>
      <xdr:colOff>44568</xdr:colOff>
      <xdr:row>7</xdr:row>
      <xdr:rowOff>52390</xdr:rowOff>
    </xdr:to>
    <xdr:sp macro="" textlink="">
      <xdr:nvSpPr>
        <xdr:cNvPr id="24" name="Rectangle 22">
          <a:hlinkClick xmlns:r="http://schemas.openxmlformats.org/officeDocument/2006/relationships" r:id="rId9"/>
        </xdr:cNvPr>
        <xdr:cNvSpPr/>
      </xdr:nvSpPr>
      <xdr:spPr>
        <a:xfrm>
          <a:off x="0" y="1552578"/>
          <a:ext cx="1259006" cy="428625"/>
        </a:xfrm>
        <a:prstGeom prst="rect">
          <a:avLst/>
        </a:prstGeom>
        <a:solidFill>
          <a:schemeClr val="accent2"/>
        </a:solidFill>
        <a:ln>
          <a:noFill/>
        </a:ln>
        <a:effectLst>
          <a:glow>
            <a:schemeClr val="accent1">
              <a:alpha val="40000"/>
            </a:schemeClr>
          </a:glo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Instruction </a:t>
          </a:r>
        </a:p>
      </xdr:txBody>
    </xdr:sp>
    <xdr:clientData/>
  </xdr:twoCellAnchor>
  <xdr:twoCellAnchor>
    <xdr:from>
      <xdr:col>0</xdr:col>
      <xdr:colOff>0</xdr:colOff>
      <xdr:row>10</xdr:row>
      <xdr:rowOff>83344</xdr:rowOff>
    </xdr:from>
    <xdr:to>
      <xdr:col>7</xdr:col>
      <xdr:colOff>321469</xdr:colOff>
      <xdr:row>24</xdr:row>
      <xdr:rowOff>159544</xdr:rowOff>
    </xdr:to>
    <xdr:graphicFrame macro="">
      <xdr:nvGraphicFramePr>
        <xdr:cNvPr id="12" name="Grafiek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25</xdr:row>
      <xdr:rowOff>166688</xdr:rowOff>
    </xdr:from>
    <xdr:to>
      <xdr:col>7</xdr:col>
      <xdr:colOff>321469</xdr:colOff>
      <xdr:row>40</xdr:row>
      <xdr:rowOff>52388</xdr:rowOff>
    </xdr:to>
    <xdr:graphicFrame macro="">
      <xdr:nvGraphicFramePr>
        <xdr:cNvPr id="13" name="Grafiek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42</xdr:row>
      <xdr:rowOff>23812</xdr:rowOff>
    </xdr:from>
    <xdr:to>
      <xdr:col>7</xdr:col>
      <xdr:colOff>321469</xdr:colOff>
      <xdr:row>56</xdr:row>
      <xdr:rowOff>100012</xdr:rowOff>
    </xdr:to>
    <xdr:graphicFrame macro="">
      <xdr:nvGraphicFramePr>
        <xdr:cNvPr id="23" name="Grafiek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id="1" name="tblSalesData" displayName="tblSalesData" ref="C8:P19" totalsRowCount="1" headerRowDxfId="1223" dataDxfId="1222" totalsRowDxfId="1221">
  <autoFilter ref="C8:P18"/>
  <tableColumns count="14">
    <tableColumn id="1" name="DATE" dataDxfId="1220" totalsRowDxfId="13"/>
    <tableColumn id="10" name="No." dataDxfId="1219" totalsRowDxfId="12"/>
    <tableColumn id="3" name="Description" dataDxfId="1218" totalsRowDxfId="11"/>
    <tableColumn id="8" name="Customer segment" dataDxfId="1217" totalsRowDxfId="10"/>
    <tableColumn id="11" name="Provided service" dataDxfId="1216" totalsRowDxfId="9"/>
    <tableColumn id="12" name="Used materials" dataDxfId="1215" totalsRowDxfId="8"/>
    <tableColumn id="13" name="Costs for materials" totalsRowFunction="sum" dataDxfId="1214" totalsRowDxfId="7"/>
    <tableColumn id="14" name="Selling price materials" totalsRowFunction="custom" dataDxfId="1213" totalsRowDxfId="6">
      <totalsRowFormula>SUM(tblSalesData[Selling price materials])</totalsRowFormula>
    </tableColumn>
    <tableColumn id="5" name="Hours of work" totalsRowFunction="sum" dataDxfId="1212" totalsRowDxfId="5"/>
    <tableColumn id="9" name="Other expenses" totalsRowFunction="custom" dataDxfId="1211" totalsRowDxfId="4">
      <totalsRowFormula>SUM(tblSalesData[Other expenses])</totalsRowFormula>
    </tableColumn>
    <tableColumn id="4" name="Description of other expenses" dataDxfId="1210" totalsRowDxfId="3"/>
    <tableColumn id="6" name="Labor income" totalsRowFunction="sum" dataDxfId="1209" totalsRowDxfId="2"/>
    <tableColumn id="2" name="Total price" totalsRowFunction="sum" dataDxfId="1208" totalsRowDxfId="1">
      <calculatedColumnFormula>tblSalesData[[#This Row],[Labor income]]+tblSalesData[[#This Row],[Selling price materials]]</calculatedColumnFormula>
    </tableColumn>
    <tableColumn id="7" name="Gross Profit" totalsRowFunction="sum" dataDxfId="1207" totalsRowDxfId="0">
      <calculatedColumnFormula>tblSalesData[[#This Row],[Total price]]-tblSalesData[[#This Row],[Costs for materials]]</calculatedColumnFormula>
    </tableColumn>
  </tableColumns>
  <tableStyleInfo name="Cash Register Sales" showFirstColumn="0" showLastColumn="1" showRowStripes="1" showColumnStripes="0"/>
</table>
</file>

<file path=xl/tables/table10.xml><?xml version="1.0" encoding="utf-8"?>
<table xmlns="http://schemas.openxmlformats.org/spreadsheetml/2006/main" id="98" name="tblSalesData959699" displayName="tblSalesData959699" ref="C135:P146" totalsRowCount="1" headerRowDxfId="964" dataDxfId="963" totalsRowDxfId="962">
  <autoFilter ref="C135:P145"/>
  <tableColumns count="14">
    <tableColumn id="1" name="DATE" dataDxfId="961" totalsRowDxfId="960"/>
    <tableColumn id="10" name="No." dataDxfId="959" totalsRowDxfId="958"/>
    <tableColumn id="3" name="Description" dataDxfId="957" totalsRowDxfId="956"/>
    <tableColumn id="8" name="Customer segment" dataDxfId="955" totalsRowDxfId="954"/>
    <tableColumn id="11" name="Provided service" dataDxfId="953" totalsRowDxfId="952"/>
    <tableColumn id="12" name="Used materials" dataDxfId="951" totalsRowDxfId="950"/>
    <tableColumn id="13" name="Costs for materials" totalsRowFunction="sum" dataDxfId="949" totalsRowDxfId="948"/>
    <tableColumn id="14" name="Selling price materials" totalsRowFunction="custom" dataDxfId="947" totalsRowDxfId="946">
      <totalsRowFormula>SUM(tblSalesData959699[Selling price materials])</totalsRowFormula>
    </tableColumn>
    <tableColumn id="5" name="Hours of work" totalsRowFunction="sum" dataDxfId="945" totalsRowDxfId="944"/>
    <tableColumn id="9" name="Other expenses" totalsRowFunction="custom" dataDxfId="943" totalsRowDxfId="942">
      <totalsRowFormula>SUM(tblSalesData959699[Other expenses])</totalsRowFormula>
    </tableColumn>
    <tableColumn id="4" name="Description of other expenses" dataDxfId="941" totalsRowDxfId="940"/>
    <tableColumn id="6" name="Labor income" totalsRowFunction="sum" dataDxfId="939" totalsRowDxfId="938"/>
    <tableColumn id="2" name="Total price" totalsRowFunction="sum" dataDxfId="937" totalsRowDxfId="936">
      <calculatedColumnFormula>tblSalesData959699[[#This Row],[Labor income]]+tblSalesData959699[[#This Row],[Selling price materials]]</calculatedColumnFormula>
    </tableColumn>
    <tableColumn id="7" name="Gross Profit" totalsRowFunction="sum" dataDxfId="935" totalsRowDxfId="934">
      <calculatedColumnFormula>tblSalesData959699[[#This Row],[Total price]]-tblSalesData959699[[#This Row],[Costs for materials]]</calculatedColumnFormula>
    </tableColumn>
  </tableColumns>
  <tableStyleInfo name="Cash Register Sales" showFirstColumn="0" showLastColumn="1" showRowStripes="1" showColumnStripes="0"/>
</table>
</file>

<file path=xl/tables/table11.xml><?xml version="1.0" encoding="utf-8"?>
<table xmlns="http://schemas.openxmlformats.org/spreadsheetml/2006/main" id="99" name="tblSalesData9596100" displayName="tblSalesData9596100" ref="C149:P160" totalsRowCount="1" headerRowDxfId="933" dataDxfId="932" totalsRowDxfId="931">
  <autoFilter ref="C149:P159"/>
  <tableColumns count="14">
    <tableColumn id="1" name="DATE" dataDxfId="930" totalsRowDxfId="929"/>
    <tableColumn id="10" name="No." dataDxfId="928" totalsRowDxfId="927"/>
    <tableColumn id="3" name="Description" dataDxfId="926" totalsRowDxfId="925"/>
    <tableColumn id="8" name="Customer segment" dataDxfId="924" totalsRowDxfId="923"/>
    <tableColumn id="11" name="Provided service" dataDxfId="922" totalsRowDxfId="921"/>
    <tableColumn id="12" name="Used materials" dataDxfId="920" totalsRowDxfId="919"/>
    <tableColumn id="13" name="Costs for materials" totalsRowFunction="sum" dataDxfId="918" totalsRowDxfId="917"/>
    <tableColumn id="14" name="Selling price materials" totalsRowFunction="custom" dataDxfId="916" totalsRowDxfId="915">
      <totalsRowFormula>SUM(tblSalesData9596100[Selling price materials])</totalsRowFormula>
    </tableColumn>
    <tableColumn id="5" name="Hours of work" totalsRowFunction="sum" dataDxfId="914" totalsRowDxfId="913"/>
    <tableColumn id="9" name="Other expenses" totalsRowFunction="custom" dataDxfId="912" totalsRowDxfId="911">
      <totalsRowFormula>SUM(tblSalesData9596100[Other expenses])</totalsRowFormula>
    </tableColumn>
    <tableColumn id="4" name="Description of other expenses" dataDxfId="910" totalsRowDxfId="909"/>
    <tableColumn id="6" name="Labor income" totalsRowFunction="sum" dataDxfId="908" totalsRowDxfId="907"/>
    <tableColumn id="2" name="Total price" totalsRowFunction="sum" dataDxfId="906" totalsRowDxfId="905">
      <calculatedColumnFormula>tblSalesData9596100[[#This Row],[Labor income]]+tblSalesData9596100[[#This Row],[Selling price materials]]</calculatedColumnFormula>
    </tableColumn>
    <tableColumn id="7" name="Gross Profit" totalsRowFunction="sum" dataDxfId="904" totalsRowDxfId="903">
      <calculatedColumnFormula>tblSalesData9596100[[#This Row],[Total price]]-tblSalesData9596100[[#This Row],[Costs for materials]]</calculatedColumnFormula>
    </tableColumn>
  </tableColumns>
  <tableStyleInfo name="Cash Register Sales" showFirstColumn="0" showLastColumn="1" showRowStripes="1" showColumnStripes="0"/>
</table>
</file>

<file path=xl/tables/table12.xml><?xml version="1.0" encoding="utf-8"?>
<table xmlns="http://schemas.openxmlformats.org/spreadsheetml/2006/main" id="100" name="tblSalesData9596101" displayName="tblSalesData9596101" ref="C163:P174" totalsRowCount="1" headerRowDxfId="902" dataDxfId="901" totalsRowDxfId="900">
  <autoFilter ref="C163:P173"/>
  <tableColumns count="14">
    <tableColumn id="1" name="DATE" dataDxfId="899" totalsRowDxfId="898"/>
    <tableColumn id="10" name="No." dataDxfId="897" totalsRowDxfId="896"/>
    <tableColumn id="3" name="Description" dataDxfId="895" totalsRowDxfId="894"/>
    <tableColumn id="8" name="Customer segment" dataDxfId="893" totalsRowDxfId="892"/>
    <tableColumn id="11" name="Provided service" dataDxfId="891" totalsRowDxfId="890"/>
    <tableColumn id="12" name="Used materials" dataDxfId="889" totalsRowDxfId="888"/>
    <tableColumn id="13" name="Costs for materials" totalsRowFunction="sum" dataDxfId="887" totalsRowDxfId="886"/>
    <tableColumn id="14" name="Selling price materials" totalsRowFunction="custom" dataDxfId="885" totalsRowDxfId="884">
      <totalsRowFormula>SUM(tblSalesData9596101[Selling price materials])</totalsRowFormula>
    </tableColumn>
    <tableColumn id="5" name="Hours of work" totalsRowFunction="sum" dataDxfId="883" totalsRowDxfId="882"/>
    <tableColumn id="9" name="Other expenses" totalsRowFunction="custom" dataDxfId="881" totalsRowDxfId="880">
      <totalsRowFormula>SUM(tblSalesData9596101[Other expenses])</totalsRowFormula>
    </tableColumn>
    <tableColumn id="4" name="Description of other expenses" dataDxfId="879" totalsRowDxfId="878"/>
    <tableColumn id="6" name="Labor income" totalsRowFunction="sum" dataDxfId="877" totalsRowDxfId="876"/>
    <tableColumn id="2" name="Total price" totalsRowFunction="sum" dataDxfId="875" totalsRowDxfId="874">
      <calculatedColumnFormula>tblSalesData9596101[[#This Row],[Labor income]]+tblSalesData9596101[[#This Row],[Selling price materials]]</calculatedColumnFormula>
    </tableColumn>
    <tableColumn id="7" name="Gross Profit" totalsRowFunction="sum" dataDxfId="873" totalsRowDxfId="872">
      <calculatedColumnFormula>tblSalesData9596101[[#This Row],[Total price]]-tblSalesData9596101[[#This Row],[Costs for materials]]</calculatedColumnFormula>
    </tableColumn>
  </tableColumns>
  <tableStyleInfo name="Cash Register Sales" showFirstColumn="0" showLastColumn="1" showRowStripes="1" showColumnStripes="0"/>
</table>
</file>

<file path=xl/tables/table13.xml><?xml version="1.0" encoding="utf-8"?>
<table xmlns="http://schemas.openxmlformats.org/spreadsheetml/2006/main" id="5" name="tblSalesData6" displayName="tblSalesData6" ref="B8:E19" totalsRowCount="1" headerRowDxfId="871" dataDxfId="870" totalsRowDxfId="869">
  <autoFilter ref="B8:E18"/>
  <tableColumns count="4">
    <tableColumn id="1" name="DATE" dataDxfId="868" totalsRowDxfId="867">
      <calculatedColumnFormula>'Daily sales'!C9:C18</calculatedColumnFormula>
    </tableColumn>
    <tableColumn id="2" name="No." dataDxfId="866" totalsRowDxfId="865">
      <calculatedColumnFormula>'Daily sales'!D9:D18</calculatedColumnFormula>
    </tableColumn>
    <tableColumn id="5" name="Total income" totalsRowFunction="sum" dataDxfId="864" totalsRowDxfId="863">
      <calculatedColumnFormula>'Daily sales'!O9:O18</calculatedColumnFormula>
    </tableColumn>
    <tableColumn id="3" name="Gross Profit" totalsRowFunction="sum" dataDxfId="862" totalsRowDxfId="861">
      <calculatedColumnFormula>'Daily sales'!P9:P18</calculatedColumnFormula>
    </tableColumn>
  </tableColumns>
  <tableStyleInfo name="Cash Register Sales" showFirstColumn="0" showLastColumn="1" showRowStripes="1" showColumnStripes="0"/>
</table>
</file>

<file path=xl/tables/table14.xml><?xml version="1.0" encoding="utf-8"?>
<table xmlns="http://schemas.openxmlformats.org/spreadsheetml/2006/main" id="6" name="tblSalesData67" displayName="tblSalesData67" ref="B23:E35" totalsRowCount="1" headerRowDxfId="860" dataDxfId="859" totalsRowDxfId="858">
  <autoFilter ref="B23:E34"/>
  <tableColumns count="4">
    <tableColumn id="1" name="DATE" dataDxfId="857" totalsRowDxfId="856">
      <calculatedColumnFormula>'Daily sales'!C23</calculatedColumnFormula>
    </tableColumn>
    <tableColumn id="2" name="No." dataDxfId="855" totalsRowDxfId="854">
      <calculatedColumnFormula>'Daily sales'!D23</calculatedColumnFormula>
    </tableColumn>
    <tableColumn id="5" name="Total income" totalsRowFunction="sum" dataDxfId="853" totalsRowDxfId="852">
      <calculatedColumnFormula>'Daily sales'!O23</calculatedColumnFormula>
    </tableColumn>
    <tableColumn id="3" name="Gross Profit" totalsRowFunction="sum" dataDxfId="851" totalsRowDxfId="850">
      <calculatedColumnFormula>'Daily sales'!P23</calculatedColumnFormula>
    </tableColumn>
  </tableColumns>
  <tableStyleInfo name="Cash Register Sales" showFirstColumn="0" showLastColumn="1" showRowStripes="1" showColumnStripes="0"/>
</table>
</file>

<file path=xl/tables/table15.xml><?xml version="1.0" encoding="utf-8"?>
<table xmlns="http://schemas.openxmlformats.org/spreadsheetml/2006/main" id="34" name="tblSalesData6735" displayName="tblSalesData6735" ref="B39:E50" totalsRowCount="1" headerRowDxfId="849" dataDxfId="848" totalsRowDxfId="847">
  <autoFilter ref="B39:E49"/>
  <tableColumns count="4">
    <tableColumn id="1" name="DATE" dataDxfId="846" totalsRowDxfId="845">
      <calculatedColumnFormula>'Daily sales'!C38</calculatedColumnFormula>
    </tableColumn>
    <tableColumn id="2" name="No." dataDxfId="844" totalsRowDxfId="843">
      <calculatedColumnFormula>'Daily sales'!D38</calculatedColumnFormula>
    </tableColumn>
    <tableColumn id="5" name="Total income" totalsRowFunction="sum" dataDxfId="842" totalsRowDxfId="841">
      <calculatedColumnFormula>'Daily sales'!O38</calculatedColumnFormula>
    </tableColumn>
    <tableColumn id="3" name="Gross Profit" totalsRowFunction="sum" dataDxfId="840" totalsRowDxfId="839">
      <calculatedColumnFormula>'Daily sales'!P38</calculatedColumnFormula>
    </tableColumn>
  </tableColumns>
  <tableStyleInfo name="Cash Register Sales" showFirstColumn="0" showLastColumn="1" showRowStripes="1" showColumnStripes="0"/>
</table>
</file>

<file path=xl/tables/table16.xml><?xml version="1.0" encoding="utf-8"?>
<table xmlns="http://schemas.openxmlformats.org/spreadsheetml/2006/main" id="35" name="tblSalesData673536" displayName="tblSalesData673536" ref="B54:E66" totalsRowCount="1" headerRowDxfId="838" dataDxfId="837" totalsRowDxfId="836">
  <autoFilter ref="B54:E65"/>
  <tableColumns count="4">
    <tableColumn id="1" name="DATE" dataDxfId="835" totalsRowDxfId="834">
      <calculatedColumnFormula>'Daily sales'!C52</calculatedColumnFormula>
    </tableColumn>
    <tableColumn id="2" name="No." dataDxfId="833" totalsRowDxfId="832">
      <calculatedColumnFormula>'Daily sales'!D52:D62</calculatedColumnFormula>
    </tableColumn>
    <tableColumn id="5" name="Total income" totalsRowFunction="sum" dataDxfId="831" totalsRowDxfId="830">
      <calculatedColumnFormula>'Daily sales'!O61</calculatedColumnFormula>
    </tableColumn>
    <tableColumn id="3" name="Gross Profit" totalsRowFunction="sum" dataDxfId="829" totalsRowDxfId="828">
      <calculatedColumnFormula>'Daily sales'!P61</calculatedColumnFormula>
    </tableColumn>
  </tableColumns>
  <tableStyleInfo name="Cash Register Sales" showFirstColumn="0" showLastColumn="1" showRowStripes="1" showColumnStripes="0"/>
</table>
</file>

<file path=xl/tables/table17.xml><?xml version="1.0" encoding="utf-8"?>
<table xmlns="http://schemas.openxmlformats.org/spreadsheetml/2006/main" id="36" name="tblSalesData6737" displayName="tblSalesData6737" ref="B70:E81" totalsRowCount="1" headerRowDxfId="827" dataDxfId="826" totalsRowDxfId="825">
  <autoFilter ref="B70:E80"/>
  <tableColumns count="4">
    <tableColumn id="1" name="DATE" dataDxfId="824" totalsRowDxfId="823">
      <calculatedColumnFormula>'Daily sales'!C67</calculatedColumnFormula>
    </tableColumn>
    <tableColumn id="2" name="No." dataDxfId="822" totalsRowDxfId="821">
      <calculatedColumnFormula>'Daily sales'!D67</calculatedColumnFormula>
    </tableColumn>
    <tableColumn id="5" name="Total income" totalsRowFunction="sum" dataDxfId="820" totalsRowDxfId="819">
      <calculatedColumnFormula>'Daily sales'!O67</calculatedColumnFormula>
    </tableColumn>
    <tableColumn id="3" name="Gross Profit" totalsRowFunction="sum" dataDxfId="818" totalsRowDxfId="817">
      <calculatedColumnFormula>'Daily sales'!P67</calculatedColumnFormula>
    </tableColumn>
  </tableColumns>
  <tableStyleInfo name="Cash Register Sales" showFirstColumn="0" showLastColumn="1" showRowStripes="1" showColumnStripes="0"/>
</table>
</file>

<file path=xl/tables/table18.xml><?xml version="1.0" encoding="utf-8"?>
<table xmlns="http://schemas.openxmlformats.org/spreadsheetml/2006/main" id="37" name="tblSalesData673538" displayName="tblSalesData673538" ref="B85:E96" totalsRowCount="1" headerRowDxfId="816" dataDxfId="815" totalsRowDxfId="814">
  <autoFilter ref="B85:E95"/>
  <tableColumns count="4">
    <tableColumn id="1" name="DATE" dataDxfId="813" totalsRowDxfId="812">
      <calculatedColumnFormula>'Daily sales'!C80</calculatedColumnFormula>
    </tableColumn>
    <tableColumn id="2" name="No." dataDxfId="811" totalsRowDxfId="810">
      <calculatedColumnFormula>'Daily sales'!D80</calculatedColumnFormula>
    </tableColumn>
    <tableColumn id="5" name="Total income" totalsRowFunction="sum" dataDxfId="809" totalsRowDxfId="808">
      <calculatedColumnFormula>'Daily sales'!O80</calculatedColumnFormula>
    </tableColumn>
    <tableColumn id="3" name="Gross Profit" totalsRowFunction="sum" dataDxfId="807" totalsRowDxfId="806">
      <calculatedColumnFormula>'Daily sales'!P80</calculatedColumnFormula>
    </tableColumn>
  </tableColumns>
  <tableStyleInfo name="Cash Register Sales" showFirstColumn="0" showLastColumn="1" showRowStripes="1" showColumnStripes="0"/>
</table>
</file>

<file path=xl/tables/table19.xml><?xml version="1.0" encoding="utf-8"?>
<table xmlns="http://schemas.openxmlformats.org/spreadsheetml/2006/main" id="38" name="tblSalesData67353639" displayName="tblSalesData67353639" ref="B99:E110" totalsRowCount="1" headerRowDxfId="805" dataDxfId="804" totalsRowDxfId="803">
  <autoFilter ref="B99:E109"/>
  <tableColumns count="4">
    <tableColumn id="1" name="DATE" dataDxfId="802" totalsRowDxfId="801">
      <calculatedColumnFormula>'Daily sales'!C94</calculatedColumnFormula>
    </tableColumn>
    <tableColumn id="2" name="No." dataDxfId="800" totalsRowDxfId="799">
      <calculatedColumnFormula>'Daily sales'!D94</calculatedColumnFormula>
    </tableColumn>
    <tableColumn id="5" name="Total income" totalsRowFunction="sum" dataDxfId="798" totalsRowDxfId="797">
      <calculatedColumnFormula>'Daily sales'!O94</calculatedColumnFormula>
    </tableColumn>
    <tableColumn id="3" name="Gross Profit" totalsRowFunction="sum" dataDxfId="796" totalsRowDxfId="795">
      <calculatedColumnFormula>'Daily sales'!P94</calculatedColumnFormula>
    </tableColumn>
  </tableColumns>
  <tableStyleInfo name="Cash Register Sales" showFirstColumn="0" showLastColumn="1" showRowStripes="1" showColumnStripes="0"/>
</table>
</file>

<file path=xl/tables/table2.xml><?xml version="1.0" encoding="utf-8"?>
<table xmlns="http://schemas.openxmlformats.org/spreadsheetml/2006/main" id="22" name="tblSalesData23" displayName="tblSalesData23" ref="C22:P34" totalsRowCount="1" totalsRowDxfId="1206">
  <autoFilter ref="C22:P33"/>
  <tableColumns count="14">
    <tableColumn id="1" name="DATE" dataDxfId="1205" totalsRowDxfId="1204"/>
    <tableColumn id="10" name="No." dataDxfId="1203" totalsRowDxfId="1202"/>
    <tableColumn id="3" name="Description" dataDxfId="1201" totalsRowDxfId="1200"/>
    <tableColumn id="8" name="Customer segment" dataDxfId="1199" totalsRowDxfId="1198"/>
    <tableColumn id="11" name="Provided service" dataDxfId="1197" totalsRowDxfId="1196"/>
    <tableColumn id="12" name="Used materials" dataDxfId="1195" totalsRowDxfId="1194"/>
    <tableColumn id="13" name="Costs for materials" totalsRowFunction="sum" dataDxfId="1193" totalsRowDxfId="1192"/>
    <tableColumn id="14" name="Selling price materials" totalsRowFunction="sum" dataDxfId="1191" totalsRowDxfId="1190"/>
    <tableColumn id="5" name="Hours of work" totalsRowFunction="sum" dataDxfId="1189" totalsRowDxfId="1188"/>
    <tableColumn id="9" name="Other expenses" totalsRowFunction="sum" dataDxfId="1187" totalsRowDxfId="1186"/>
    <tableColumn id="4" name="Description of other expenses" dataDxfId="1185" totalsRowDxfId="1184"/>
    <tableColumn id="6" name="Labor income" totalsRowFunction="sum" dataDxfId="1183" totalsRowDxfId="1182"/>
    <tableColumn id="2" name="Total price" totalsRowFunction="sum" dataDxfId="1181" totalsRowDxfId="1180">
      <calculatedColumnFormula>SUM(tblSalesData23[[#This Row],[Labor income]]+tblSalesData23[[#This Row],[Other expenses]]+tblSalesData23[[#This Row],[Selling price materials]])</calculatedColumnFormula>
    </tableColumn>
    <tableColumn id="7" name="Gross Profit" totalsRowFunction="sum" dataDxfId="1179" totalsRowDxfId="1178">
      <calculatedColumnFormula>tblSalesData23[[#This Row],[Total price]]-tblSalesData23[[#This Row],[Costs for materials]]</calculatedColumnFormula>
    </tableColumn>
  </tableColumns>
  <tableStyleInfo name="Cash Register Sales" showFirstColumn="0" showLastColumn="1" showRowStripes="1" showColumnStripes="0"/>
</table>
</file>

<file path=xl/tables/table20.xml><?xml version="1.0" encoding="utf-8"?>
<table xmlns="http://schemas.openxmlformats.org/spreadsheetml/2006/main" id="39" name="tblSalesData673740" displayName="tblSalesData673740" ref="B113:E124" totalsRowCount="1" headerRowDxfId="794" dataDxfId="793" totalsRowDxfId="792">
  <autoFilter ref="B113:E123"/>
  <tableColumns count="4">
    <tableColumn id="1" name="DATE" dataDxfId="791" totalsRowDxfId="790">
      <calculatedColumnFormula>'Daily sales'!C108</calculatedColumnFormula>
    </tableColumn>
    <tableColumn id="2" name="No." dataDxfId="789" totalsRowDxfId="788">
      <calculatedColumnFormula>'Daily sales'!D108</calculatedColumnFormula>
    </tableColumn>
    <tableColumn id="5" name="Total income" totalsRowFunction="sum" dataDxfId="787" totalsRowDxfId="786">
      <calculatedColumnFormula>'Daily sales'!O108</calculatedColumnFormula>
    </tableColumn>
    <tableColumn id="3" name="Gross Profit" totalsRowFunction="sum" dataDxfId="785" totalsRowDxfId="784">
      <calculatedColumnFormula>'Daily sales'!P108</calculatedColumnFormula>
    </tableColumn>
  </tableColumns>
  <tableStyleInfo name="Cash Register Sales" showFirstColumn="0" showLastColumn="1" showRowStripes="1" showColumnStripes="0"/>
</table>
</file>

<file path=xl/tables/table21.xml><?xml version="1.0" encoding="utf-8"?>
<table xmlns="http://schemas.openxmlformats.org/spreadsheetml/2006/main" id="40" name="tblSalesData67353841" displayName="tblSalesData67353841" ref="B128:E139" totalsRowCount="1" headerRowDxfId="783" dataDxfId="782" totalsRowDxfId="781">
  <autoFilter ref="B128:E138"/>
  <tableColumns count="4">
    <tableColumn id="1" name="DATE" dataDxfId="780" totalsRowDxfId="779">
      <calculatedColumnFormula>'Daily sales'!C122</calculatedColumnFormula>
    </tableColumn>
    <tableColumn id="2" name="No." dataDxfId="778" totalsRowDxfId="777">
      <calculatedColumnFormula>'Daily sales'!D122</calculatedColumnFormula>
    </tableColumn>
    <tableColumn id="5" name="Total income" totalsRowFunction="sum" dataDxfId="776" totalsRowDxfId="775">
      <calculatedColumnFormula>'Daily sales'!O122</calculatedColumnFormula>
    </tableColumn>
    <tableColumn id="3" name="Gross Profit" totalsRowFunction="sum" dataDxfId="774" totalsRowDxfId="773">
      <calculatedColumnFormula>'Daily sales'!P122</calculatedColumnFormula>
    </tableColumn>
  </tableColumns>
  <tableStyleInfo name="Cash Register Sales" showFirstColumn="0" showLastColumn="1" showRowStripes="1" showColumnStripes="0"/>
</table>
</file>

<file path=xl/tables/table22.xml><?xml version="1.0" encoding="utf-8"?>
<table xmlns="http://schemas.openxmlformats.org/spreadsheetml/2006/main" id="41" name="tblSalesData67353842" displayName="tblSalesData67353842" ref="B143:E154" totalsRowCount="1" headerRowDxfId="772" dataDxfId="771" totalsRowDxfId="770">
  <autoFilter ref="B143:E153"/>
  <tableColumns count="4">
    <tableColumn id="1" name="DATE" dataDxfId="769" totalsRowDxfId="768">
      <calculatedColumnFormula>'Daily sales'!C136</calculatedColumnFormula>
    </tableColumn>
    <tableColumn id="2" name="No." dataDxfId="767" totalsRowDxfId="766">
      <calculatedColumnFormula>'Daily sales'!D136</calculatedColumnFormula>
    </tableColumn>
    <tableColumn id="5" name="Total income" totalsRowFunction="sum" dataDxfId="765" totalsRowDxfId="764">
      <calculatedColumnFormula>'Daily sales'!O136</calculatedColumnFormula>
    </tableColumn>
    <tableColumn id="3" name="Gross Profit" totalsRowFunction="sum" dataDxfId="763" totalsRowDxfId="762">
      <calculatedColumnFormula>'Daily sales'!P136</calculatedColumnFormula>
    </tableColumn>
  </tableColumns>
  <tableStyleInfo name="Cash Register Sales" showFirstColumn="0" showLastColumn="1" showRowStripes="1" showColumnStripes="0"/>
</table>
</file>

<file path=xl/tables/table23.xml><?xml version="1.0" encoding="utf-8"?>
<table xmlns="http://schemas.openxmlformats.org/spreadsheetml/2006/main" id="42" name="tblSalesData6735363943" displayName="tblSalesData6735363943" ref="B157:E168" totalsRowCount="1" headerRowDxfId="761" dataDxfId="760" totalsRowDxfId="759">
  <autoFilter ref="B157:E167"/>
  <tableColumns count="4">
    <tableColumn id="1" name="DATE" dataDxfId="758" totalsRowDxfId="757">
      <calculatedColumnFormula>'Daily sales'!C150</calculatedColumnFormula>
    </tableColumn>
    <tableColumn id="2" name="No." dataDxfId="756" totalsRowDxfId="755">
      <calculatedColumnFormula>'Daily sales'!D150</calculatedColumnFormula>
    </tableColumn>
    <tableColumn id="5" name="Total income" totalsRowFunction="sum" dataDxfId="754" totalsRowDxfId="753">
      <calculatedColumnFormula>'Daily sales'!O150</calculatedColumnFormula>
    </tableColumn>
    <tableColumn id="3" name="Gross Profit" totalsRowFunction="sum" dataDxfId="752" totalsRowDxfId="751">
      <calculatedColumnFormula>'Daily sales'!P150</calculatedColumnFormula>
    </tableColumn>
  </tableColumns>
  <tableStyleInfo name="Cash Register Sales" showFirstColumn="0" showLastColumn="1" showRowStripes="1" showColumnStripes="0"/>
</table>
</file>

<file path=xl/tables/table24.xml><?xml version="1.0" encoding="utf-8"?>
<table xmlns="http://schemas.openxmlformats.org/spreadsheetml/2006/main" id="43" name="tblSalesData67374044" displayName="tblSalesData67374044" ref="B172:E183" totalsRowCount="1" headerRowDxfId="750" dataDxfId="749" totalsRowDxfId="748">
  <autoFilter ref="B172:E182"/>
  <tableColumns count="4">
    <tableColumn id="1" name="DATE" dataDxfId="747" totalsRowDxfId="746">
      <calculatedColumnFormula>'Daily sales'!C164:C173</calculatedColumnFormula>
    </tableColumn>
    <tableColumn id="2" name="No." dataDxfId="745" totalsRowDxfId="744">
      <calculatedColumnFormula>'Daily sales'!D164:D173</calculatedColumnFormula>
    </tableColumn>
    <tableColumn id="5" name="Total income" totalsRowFunction="sum" dataDxfId="743" totalsRowDxfId="742">
      <calculatedColumnFormula>'Daily sales'!O164:O173</calculatedColumnFormula>
    </tableColumn>
    <tableColumn id="3" name="Gross Profit" totalsRowFunction="sum" dataDxfId="741" totalsRowDxfId="740">
      <calculatedColumnFormula>'Daily sales'!P164:P173</calculatedColumnFormula>
    </tableColumn>
  </tableColumns>
  <tableStyleInfo name="Cash Register Sales" showFirstColumn="0" showLastColumn="1" showRowStripes="1" showColumnStripes="0"/>
</table>
</file>

<file path=xl/tables/table25.xml><?xml version="1.0" encoding="utf-8"?>
<table xmlns="http://schemas.openxmlformats.org/spreadsheetml/2006/main" id="7" name="tblSalesData8" displayName="tblSalesData8" ref="B8:I19" totalsRowCount="1" headerRowDxfId="739" dataDxfId="738" totalsRowDxfId="737">
  <autoFilter ref="B8:I18"/>
  <tableColumns count="8">
    <tableColumn id="1" name="Purchase year" dataDxfId="736" totalsRowDxfId="735"/>
    <tableColumn id="4" name="No." dataDxfId="734" totalsRowDxfId="733"/>
    <tableColumn id="2" name="Material type" dataDxfId="732" totalsRowDxfId="731"/>
    <tableColumn id="3" name="Purchase cost" totalsRowFunction="sum" dataDxfId="730" totalsRowDxfId="729"/>
    <tableColumn id="8" name="Depreciation year" dataDxfId="728" totalsRowDxfId="727"/>
    <tableColumn id="11" name="Rest Value" totalsRowFunction="custom" dataDxfId="726" totalsRowDxfId="725">
      <calculatedColumnFormula>tblSalesData8[[#This Row],[Purchase cost]]-tblSalesData8[[#This Row],[Total depreciation costs per year]]</calculatedColumnFormula>
      <totalsRowFormula>G9+G10+G11+G12+G13+G14+G15+G16+G17+G18</totalsRowFormula>
    </tableColumn>
    <tableColumn id="12" name="Total depreciation costs per year" totalsRowFunction="custom" dataDxfId="724" totalsRowDxfId="723">
      <calculatedColumnFormula>tblSalesData8[[#This Row],[Purchase cost]]/tblSalesData8[[#This Row],[Depreciation year]]</calculatedColumnFormula>
      <totalsRowFormula>SUM(tblSalesData8[Total depreciation costs per year])</totalsRowFormula>
    </tableColumn>
    <tableColumn id="7" name="Monthly depriciation costs" totalsRowFunction="custom" dataDxfId="722" totalsRowDxfId="721">
      <calculatedColumnFormula>tblSalesData8[[#This Row],[Total depreciation costs per year]]/12</calculatedColumnFormula>
      <totalsRowFormula>SUM(tblSalesData8[Monthly depriciation costs])</totalsRowFormula>
    </tableColumn>
  </tableColumns>
  <tableStyleInfo name="Cash Register Sales" showFirstColumn="0" showLastColumn="1" showRowStripes="1" showColumnStripes="0"/>
</table>
</file>

<file path=xl/tables/table26.xml><?xml version="1.0" encoding="utf-8"?>
<table xmlns="http://schemas.openxmlformats.org/spreadsheetml/2006/main" id="69" name="tblSalesData870" displayName="tblSalesData870" ref="B20:I31" totalsRowCount="1" headerRowDxfId="720" dataDxfId="719" totalsRowDxfId="718">
  <autoFilter ref="B20:I30"/>
  <tableColumns count="8">
    <tableColumn id="1" name="Purchase year" dataDxfId="717" totalsRowDxfId="716"/>
    <tableColumn id="4" name="No." dataDxfId="715" totalsRowDxfId="714"/>
    <tableColumn id="2" name="Material type" dataDxfId="713" totalsRowDxfId="712"/>
    <tableColumn id="3" name="Purchase cost" totalsRowFunction="sum" dataDxfId="711" totalsRowDxfId="710"/>
    <tableColumn id="8" name="Depreciation year" dataDxfId="709" totalsRowDxfId="708"/>
    <tableColumn id="11" name="Rest Value" totalsRowFunction="sum" dataDxfId="707" totalsRowDxfId="706"/>
    <tableColumn id="12" name="Total depreciation costs" totalsRowFunction="sum" dataDxfId="705" totalsRowDxfId="704">
      <calculatedColumnFormula>tblSalesData870[[#This Row],[Purchase cost]]/tblSalesData870[[#This Row],[Depreciation year]]</calculatedColumnFormula>
    </tableColumn>
    <tableColumn id="7" name="Monthly depriciation costs" totalsRowFunction="sum" dataDxfId="703" totalsRowDxfId="702">
      <calculatedColumnFormula>tblSalesData870[[#This Row],[Total depreciation costs]]/12</calculatedColumnFormula>
    </tableColumn>
  </tableColumns>
  <tableStyleInfo name="Cash Register Sales" showFirstColumn="0" showLastColumn="1" showRowStripes="1" showColumnStripes="0"/>
</table>
</file>

<file path=xl/tables/table27.xml><?xml version="1.0" encoding="utf-8"?>
<table xmlns="http://schemas.openxmlformats.org/spreadsheetml/2006/main" id="9" name="tblSalesData810" displayName="tblSalesData810" ref="B8:J11" totalsRowCount="1" headerRowDxfId="701" dataDxfId="700" totalsRowDxfId="699">
  <autoFilter ref="B8:J10"/>
  <tableColumns count="9">
    <tableColumn id="1" name="Purchase data" dataDxfId="698" totalsRowDxfId="697"/>
    <tableColumn id="4" name="No." dataDxfId="696" totalsRowDxfId="695"/>
    <tableColumn id="2" name="Material type" dataDxfId="694" totalsRowDxfId="693"/>
    <tableColumn id="3" name="Purchase cost" dataDxfId="692" totalsRowDxfId="691"/>
    <tableColumn id="8" name="Depreciation date" dataDxfId="690" totalsRowDxfId="689"/>
    <tableColumn id="5" name="Valuable months" dataDxfId="688" totalsRowDxfId="687">
      <calculatedColumnFormula>DATEDIF(B9,F9,"m")</calculatedColumnFormula>
    </tableColumn>
    <tableColumn id="11" name="Rest value" dataDxfId="686" totalsRowDxfId="685"/>
    <tableColumn id="12" name="Total depreciation costs" totalsRowFunction="sum" dataDxfId="684" totalsRowDxfId="683">
      <calculatedColumnFormula>tblSalesData810[[#This Row],[Purchase cost]]-tblSalesData810[[#This Row],[Rest value]]</calculatedColumnFormula>
    </tableColumn>
    <tableColumn id="7" name="Monthly depreciation costs" totalsRowFunction="sum" dataDxfId="682" totalsRowDxfId="681">
      <calculatedColumnFormula>tblSalesData810[[#This Row],[Total depreciation costs]]/tblSalesData810[[#This Row],[Valuable months]]</calculatedColumnFormula>
    </tableColumn>
  </tableColumns>
  <tableStyleInfo name="Cash Register Sales" showFirstColumn="0" showLastColumn="1" showRowStripes="1" showColumnStripes="0"/>
</table>
</file>

<file path=xl/tables/table28.xml><?xml version="1.0" encoding="utf-8"?>
<table xmlns="http://schemas.openxmlformats.org/spreadsheetml/2006/main" id="81" name="tblSalesData81082" displayName="tblSalesData81082" ref="B14:J17" totalsRowCount="1" headerRowDxfId="680" dataDxfId="679" totalsRowDxfId="678">
  <autoFilter ref="B14:J16"/>
  <tableColumns count="9">
    <tableColumn id="1" name="Purchase data" dataDxfId="677" totalsRowDxfId="676"/>
    <tableColumn id="4" name="No." dataDxfId="675" totalsRowDxfId="674"/>
    <tableColumn id="2" name="Material type" dataDxfId="673" totalsRowDxfId="672"/>
    <tableColumn id="3" name="Purchase cost" dataDxfId="671" totalsRowDxfId="670"/>
    <tableColumn id="8" name="Depreciation date" dataDxfId="669" totalsRowDxfId="668"/>
    <tableColumn id="5" name="Valuable months" dataDxfId="667" totalsRowDxfId="666">
      <calculatedColumnFormula>DATEDIF(B15,F15,"m")</calculatedColumnFormula>
    </tableColumn>
    <tableColumn id="11" name="Rest value" dataDxfId="665" totalsRowDxfId="664"/>
    <tableColumn id="12" name="Total depreciation costs" totalsRowFunction="sum" dataDxfId="663" totalsRowDxfId="662">
      <calculatedColumnFormula>tblSalesData81082[[#This Row],[Purchase cost]]-tblSalesData81082[[#This Row],[Rest value]]</calculatedColumnFormula>
    </tableColumn>
    <tableColumn id="7" name="Monthly depreciation costs" totalsRowFunction="sum" dataDxfId="661" totalsRowDxfId="660">
      <calculatedColumnFormula>tblSalesData81082[[#This Row],[Total depreciation costs]]/tblSalesData81082[[#This Row],[Valuable months]]</calculatedColumnFormula>
    </tableColumn>
  </tableColumns>
  <tableStyleInfo name="Cash Register Sales" showFirstColumn="0" showLastColumn="1" showRowStripes="1" showColumnStripes="0"/>
</table>
</file>

<file path=xl/tables/table29.xml><?xml version="1.0" encoding="utf-8"?>
<table xmlns="http://schemas.openxmlformats.org/spreadsheetml/2006/main" id="82" name="tblSalesData81083" displayName="tblSalesData81083" ref="B19:J22" totalsRowCount="1" headerRowDxfId="659" dataDxfId="658" totalsRowDxfId="657">
  <autoFilter ref="B19:J21"/>
  <tableColumns count="9">
    <tableColumn id="1" name="Purchase data" dataDxfId="656" totalsRowDxfId="655"/>
    <tableColumn id="4" name="No." dataDxfId="654" totalsRowDxfId="653"/>
    <tableColumn id="2" name="Material type" dataDxfId="652" totalsRowDxfId="651"/>
    <tableColumn id="3" name="Purchase cost" dataDxfId="650" totalsRowDxfId="649"/>
    <tableColumn id="8" name="Depreciation date" dataDxfId="648" totalsRowDxfId="647"/>
    <tableColumn id="5" name="Valuable months" dataDxfId="646" totalsRowDxfId="645">
      <calculatedColumnFormula>DATEDIF(B20,F20,"m")</calculatedColumnFormula>
    </tableColumn>
    <tableColumn id="11" name="Rest value" dataDxfId="644" totalsRowDxfId="643"/>
    <tableColumn id="12" name="Total depreciation costs" totalsRowFunction="sum" dataDxfId="642" totalsRowDxfId="641">
      <calculatedColumnFormula>tblSalesData81083[[#This Row],[Purchase cost]]-tblSalesData81083[[#This Row],[Rest value]]</calculatedColumnFormula>
    </tableColumn>
    <tableColumn id="7" name="Monthly depreciation costs" totalsRowFunction="sum" dataDxfId="640" totalsRowDxfId="639">
      <calculatedColumnFormula>tblSalesData81083[[#This Row],[Total depreciation costs]]/tblSalesData81083[[#This Row],[Valuable months]]</calculatedColumnFormula>
    </tableColumn>
  </tableColumns>
  <tableStyleInfo name="Cash Register Sales" showFirstColumn="0" showLastColumn="1" showRowStripes="1" showColumnStripes="0"/>
</table>
</file>

<file path=xl/tables/table3.xml><?xml version="1.0" encoding="utf-8"?>
<table xmlns="http://schemas.openxmlformats.org/spreadsheetml/2006/main" id="23" name="tblSalesData2324" displayName="tblSalesData2324" ref="C37:P48" totalsRowCount="1" totalsRowDxfId="1177">
  <autoFilter ref="C37:P47"/>
  <tableColumns count="14">
    <tableColumn id="1" name="DATE" dataDxfId="1176" totalsRowDxfId="1175"/>
    <tableColumn id="10" name="No." dataDxfId="1174" totalsRowDxfId="1173"/>
    <tableColumn id="3" name="Description" dataDxfId="1172" totalsRowDxfId="1171"/>
    <tableColumn id="8" name="Customer segment" dataDxfId="1170" totalsRowDxfId="1169"/>
    <tableColumn id="11" name="Provided service" dataDxfId="1168" totalsRowDxfId="1167"/>
    <tableColumn id="12" name="Used materials" dataDxfId="1166" totalsRowDxfId="1165"/>
    <tableColumn id="13" name="Costs for materials" dataDxfId="1164" totalsRowDxfId="1163"/>
    <tableColumn id="14" name="Selling price materials" dataDxfId="1162" totalsRowDxfId="1161"/>
    <tableColumn id="5" name="Hours of work" dataDxfId="1160" totalsRowDxfId="1159"/>
    <tableColumn id="9" name="Other expenses" dataDxfId="1158" totalsRowDxfId="1157"/>
    <tableColumn id="4" name="Description of other expenses" dataDxfId="1156" totalsRowDxfId="1155"/>
    <tableColumn id="6" name="Labor income" dataDxfId="1154" totalsRowDxfId="1153"/>
    <tableColumn id="2" name="Total price" totalsRowFunction="sum" dataDxfId="1152" totalsRowDxfId="1151">
      <calculatedColumnFormula>SUM(tblSalesData2324[[#This Row],[Labor income]]+tblSalesData2324[[#This Row],[Other expenses]]+tblSalesData2324[[#This Row],[Selling price materials]])</calculatedColumnFormula>
    </tableColumn>
    <tableColumn id="7" name="Gross Profit" totalsRowFunction="sum" dataDxfId="1150" totalsRowDxfId="1149">
      <calculatedColumnFormula>tblSalesData2324[[#This Row],[Total price]]-tblSalesData2324[[#This Row],[Costs for materials]]</calculatedColumnFormula>
    </tableColumn>
  </tableColumns>
  <tableStyleInfo name="Cash Register Sales" showFirstColumn="0" showLastColumn="1" showRowStripes="1" showColumnStripes="0"/>
</table>
</file>

<file path=xl/tables/table30.xml><?xml version="1.0" encoding="utf-8"?>
<table xmlns="http://schemas.openxmlformats.org/spreadsheetml/2006/main" id="83" name="tblSalesData81084" displayName="tblSalesData81084" ref="B24:J27" totalsRowCount="1" headerRowDxfId="638" dataDxfId="637" totalsRowDxfId="636">
  <autoFilter ref="B24:J26"/>
  <tableColumns count="9">
    <tableColumn id="1" name="Purchase data" dataDxfId="635" totalsRowDxfId="634"/>
    <tableColumn id="4" name="No." dataDxfId="633" totalsRowDxfId="632"/>
    <tableColumn id="2" name="Material type" dataDxfId="631" totalsRowDxfId="630"/>
    <tableColumn id="3" name="Purchase cost" dataDxfId="629" totalsRowDxfId="628"/>
    <tableColumn id="8" name="Depreciation date" dataDxfId="627" totalsRowDxfId="626"/>
    <tableColumn id="5" name="Valuable months" dataDxfId="625" totalsRowDxfId="624">
      <calculatedColumnFormula>DATEDIF(B25,F25,"m")</calculatedColumnFormula>
    </tableColumn>
    <tableColumn id="11" name="Rest value" dataDxfId="623" totalsRowDxfId="622"/>
    <tableColumn id="12" name="Total depreciation costs" totalsRowFunction="sum" dataDxfId="621" totalsRowDxfId="620">
      <calculatedColumnFormula>tblSalesData81084[[#This Row],[Purchase cost]]-tblSalesData81084[[#This Row],[Rest value]]</calculatedColumnFormula>
    </tableColumn>
    <tableColumn id="7" name="Monthly depreciation costs" totalsRowFunction="sum" dataDxfId="619" totalsRowDxfId="618">
      <calculatedColumnFormula>tblSalesData81084[[#This Row],[Total depreciation costs]]/tblSalesData81084[[#This Row],[Valuable months]]</calculatedColumnFormula>
    </tableColumn>
  </tableColumns>
  <tableStyleInfo name="Cash Register Sales" showFirstColumn="0" showLastColumn="1" showRowStripes="1" showColumnStripes="0"/>
</table>
</file>

<file path=xl/tables/table31.xml><?xml version="1.0" encoding="utf-8"?>
<table xmlns="http://schemas.openxmlformats.org/spreadsheetml/2006/main" id="84" name="tblSalesData81085" displayName="tblSalesData81085" ref="B29:J32" totalsRowCount="1" headerRowDxfId="617" dataDxfId="616" totalsRowDxfId="615">
  <autoFilter ref="B29:J31"/>
  <tableColumns count="9">
    <tableColumn id="1" name="Purchase data" dataDxfId="614" totalsRowDxfId="613"/>
    <tableColumn id="4" name="No." dataDxfId="612" totalsRowDxfId="611"/>
    <tableColumn id="2" name="Material type" dataDxfId="610" totalsRowDxfId="609"/>
    <tableColumn id="3" name="Purchase cost" dataDxfId="608" totalsRowDxfId="607"/>
    <tableColumn id="8" name="Depreciation date" dataDxfId="606" totalsRowDxfId="605"/>
    <tableColumn id="5" name="Valuable months" dataDxfId="604" totalsRowDxfId="603">
      <calculatedColumnFormula>DATEDIF(B30,F30,"m")</calculatedColumnFormula>
    </tableColumn>
    <tableColumn id="11" name="Rest value" dataDxfId="602" totalsRowDxfId="601"/>
    <tableColumn id="12" name="Total depreciation costs" totalsRowFunction="sum" dataDxfId="600" totalsRowDxfId="599">
      <calculatedColumnFormula>tblSalesData81085[[#This Row],[Purchase cost]]-tblSalesData81085[[#This Row],[Rest value]]</calculatedColumnFormula>
    </tableColumn>
    <tableColumn id="7" name="Monthly depreciation costs" totalsRowFunction="sum" dataDxfId="598" totalsRowDxfId="597">
      <calculatedColumnFormula>tblSalesData81085[[#This Row],[Total depreciation costs]]/tblSalesData81085[[#This Row],[Valuable months]]</calculatedColumnFormula>
    </tableColumn>
  </tableColumns>
  <tableStyleInfo name="Cash Register Sales" showFirstColumn="0" showLastColumn="1" showRowStripes="1" showColumnStripes="0"/>
</table>
</file>

<file path=xl/tables/table32.xml><?xml version="1.0" encoding="utf-8"?>
<table xmlns="http://schemas.openxmlformats.org/spreadsheetml/2006/main" id="85" name="tblSalesData8108286" displayName="tblSalesData8108286" ref="B35:J38" totalsRowCount="1" headerRowDxfId="596" dataDxfId="595" totalsRowDxfId="594">
  <autoFilter ref="B35:J37"/>
  <tableColumns count="9">
    <tableColumn id="1" name="Purchase data" dataDxfId="593" totalsRowDxfId="592"/>
    <tableColumn id="4" name="No." dataDxfId="591" totalsRowDxfId="590"/>
    <tableColumn id="2" name="Material type" dataDxfId="589" totalsRowDxfId="588"/>
    <tableColumn id="3" name="Purchase cost" dataDxfId="587" totalsRowDxfId="586"/>
    <tableColumn id="8" name="Depreciation date" dataDxfId="585" totalsRowDxfId="584"/>
    <tableColumn id="5" name="Valuable months" dataDxfId="583" totalsRowDxfId="582">
      <calculatedColumnFormula>DATEDIF(B36,F36,"m")</calculatedColumnFormula>
    </tableColumn>
    <tableColumn id="11" name="Rest value" dataDxfId="581" totalsRowDxfId="580"/>
    <tableColumn id="12" name="Total depreciation costs" totalsRowFunction="sum" dataDxfId="579" totalsRowDxfId="578">
      <calculatedColumnFormula>tblSalesData8108286[[#This Row],[Purchase cost]]-tblSalesData8108286[[#This Row],[Rest value]]</calculatedColumnFormula>
    </tableColumn>
    <tableColumn id="7" name="Monthly depreciation costs" totalsRowFunction="sum" dataDxfId="577" totalsRowDxfId="576">
      <calculatedColumnFormula>tblSalesData8108286[[#This Row],[Total depreciation costs]]/tblSalesData8108286[[#This Row],[Valuable months]]</calculatedColumnFormula>
    </tableColumn>
  </tableColumns>
  <tableStyleInfo name="Cash Register Sales" showFirstColumn="0" showLastColumn="1" showRowStripes="1" showColumnStripes="0"/>
</table>
</file>

<file path=xl/tables/table33.xml><?xml version="1.0" encoding="utf-8"?>
<table xmlns="http://schemas.openxmlformats.org/spreadsheetml/2006/main" id="86" name="tblSalesData8108387" displayName="tblSalesData8108387" ref="B40:J43" totalsRowCount="1" headerRowDxfId="575" dataDxfId="574" totalsRowDxfId="573">
  <autoFilter ref="B40:J42"/>
  <tableColumns count="9">
    <tableColumn id="1" name="Purchase data" dataDxfId="572" totalsRowDxfId="571"/>
    <tableColumn id="4" name="No." dataDxfId="570" totalsRowDxfId="569"/>
    <tableColumn id="2" name="Material type" dataDxfId="568" totalsRowDxfId="567"/>
    <tableColumn id="3" name="Purchase cost" dataDxfId="566" totalsRowDxfId="565"/>
    <tableColumn id="8" name="Depreciation date" dataDxfId="564" totalsRowDxfId="563"/>
    <tableColumn id="5" name="Valuable months" dataDxfId="562" totalsRowDxfId="561">
      <calculatedColumnFormula>DATEDIF(B41,F41,"m")</calculatedColumnFormula>
    </tableColumn>
    <tableColumn id="11" name=" ETB -   " dataDxfId="560" totalsRowDxfId="559"/>
    <tableColumn id="12" name="Total depreciation costs" totalsRowFunction="sum" dataDxfId="558" totalsRowDxfId="557">
      <calculatedColumnFormula>tblSalesData8108387[[#This Row],[Purchase cost]]-tblSalesData8108387[[#This Row],[ ETB -   ]]</calculatedColumnFormula>
    </tableColumn>
    <tableColumn id="7" name="Monthly depreciation costs" totalsRowFunction="sum" dataDxfId="556" totalsRowDxfId="555">
      <calculatedColumnFormula>tblSalesData8108387[[#This Row],[Total depreciation costs]]/tblSalesData8108387[[#This Row],[Valuable months]]</calculatedColumnFormula>
    </tableColumn>
  </tableColumns>
  <tableStyleInfo name="Cash Register Sales" showFirstColumn="0" showLastColumn="1" showRowStripes="1" showColumnStripes="0"/>
</table>
</file>

<file path=xl/tables/table34.xml><?xml version="1.0" encoding="utf-8"?>
<table xmlns="http://schemas.openxmlformats.org/spreadsheetml/2006/main" id="87" name="tblSalesData8108488" displayName="tblSalesData8108488" ref="B45:J48" totalsRowCount="1" headerRowDxfId="554" dataDxfId="553" totalsRowDxfId="552">
  <autoFilter ref="B45:J47"/>
  <tableColumns count="9">
    <tableColumn id="1" name="Purchase data" dataDxfId="551" totalsRowDxfId="550"/>
    <tableColumn id="4" name="No." dataDxfId="549" totalsRowDxfId="548"/>
    <tableColumn id="2" name="Material type" dataDxfId="547" totalsRowDxfId="546"/>
    <tableColumn id="3" name="Purchase cost" dataDxfId="545" totalsRowDxfId="544"/>
    <tableColumn id="8" name="Depreciation date" dataDxfId="543" totalsRowDxfId="542"/>
    <tableColumn id="5" name="Valuable months" dataDxfId="541" totalsRowDxfId="540">
      <calculatedColumnFormula>DATEDIF(B46,F46,"m")</calculatedColumnFormula>
    </tableColumn>
    <tableColumn id="11" name="Rest value" dataDxfId="539" totalsRowDxfId="538"/>
    <tableColumn id="12" name="Total depreciation costs" totalsRowFunction="sum" dataDxfId="537" totalsRowDxfId="536">
      <calculatedColumnFormula>tblSalesData8108488[[#This Row],[Purchase cost]]-tblSalesData8108488[[#This Row],[Rest value]]</calculatedColumnFormula>
    </tableColumn>
    <tableColumn id="7" name="Monthly depreciation costs" totalsRowFunction="sum" dataDxfId="535" totalsRowDxfId="534">
      <calculatedColumnFormula>tblSalesData8108488[[#This Row],[Total depreciation costs]]/tblSalesData8108488[[#This Row],[Valuable months]]</calculatedColumnFormula>
    </tableColumn>
  </tableColumns>
  <tableStyleInfo name="Cash Register Sales" showFirstColumn="0" showLastColumn="1" showRowStripes="1" showColumnStripes="0"/>
</table>
</file>

<file path=xl/tables/table35.xml><?xml version="1.0" encoding="utf-8"?>
<table xmlns="http://schemas.openxmlformats.org/spreadsheetml/2006/main" id="88" name="tblSalesData81089" displayName="tblSalesData81089" ref="B50:J53" totalsRowCount="1" headerRowDxfId="533" dataDxfId="532" totalsRowDxfId="531">
  <autoFilter ref="B50:J52"/>
  <tableColumns count="9">
    <tableColumn id="1" name="Purchase data" dataDxfId="530" totalsRowDxfId="529"/>
    <tableColumn id="4" name="No." dataDxfId="528" totalsRowDxfId="527"/>
    <tableColumn id="2" name="Material type" dataDxfId="526" totalsRowDxfId="525"/>
    <tableColumn id="3" name="Purchase cost" totalsRowLabel=" ETB -   " dataDxfId="524" totalsRowDxfId="523"/>
    <tableColumn id="8" name="Depreciation date" dataDxfId="522" totalsRowDxfId="521"/>
    <tableColumn id="5" name="Valuable months" dataDxfId="520" totalsRowDxfId="519">
      <calculatedColumnFormula>DATEDIF(B51,F51,"m")</calculatedColumnFormula>
    </tableColumn>
    <tableColumn id="11" name="Rest value" dataDxfId="518" totalsRowDxfId="517"/>
    <tableColumn id="12" name="Total depreciation costs" totalsRowFunction="sum" dataDxfId="516" totalsRowDxfId="515">
      <calculatedColumnFormula>tblSalesData81089[[#This Row],[Purchase cost]]-tblSalesData81089[[#This Row],[Rest value]]</calculatedColumnFormula>
    </tableColumn>
    <tableColumn id="7" name="Monthly depreciation costs" totalsRowFunction="sum" dataDxfId="514" totalsRowDxfId="513">
      <calculatedColumnFormula>tblSalesData81089[[#This Row],[Total depreciation costs]]/tblSalesData81089[[#This Row],[Valuable months]]</calculatedColumnFormula>
    </tableColumn>
  </tableColumns>
  <tableStyleInfo name="Cash Register Sales" showFirstColumn="0" showLastColumn="1" showRowStripes="1" showColumnStripes="0"/>
</table>
</file>

<file path=xl/tables/table36.xml><?xml version="1.0" encoding="utf-8"?>
<table xmlns="http://schemas.openxmlformats.org/spreadsheetml/2006/main" id="89" name="tblSalesData8108290" displayName="tblSalesData8108290" ref="B56:J59" totalsRowCount="1" headerRowDxfId="512" dataDxfId="511" totalsRowDxfId="510">
  <autoFilter ref="B56:J58"/>
  <tableColumns count="9">
    <tableColumn id="1" name="Purchase data" dataDxfId="509" totalsRowDxfId="508"/>
    <tableColumn id="4" name="No." dataDxfId="507" totalsRowDxfId="506"/>
    <tableColumn id="2" name="Material type" dataDxfId="505" totalsRowDxfId="504"/>
    <tableColumn id="3" name="Purchase cost" dataDxfId="503" totalsRowDxfId="502"/>
    <tableColumn id="8" name="Depreciation date" dataDxfId="501" totalsRowDxfId="500"/>
    <tableColumn id="5" name="Valuable months" dataDxfId="499" totalsRowDxfId="498">
      <calculatedColumnFormula>DATEDIF(B57,F57,"m")</calculatedColumnFormula>
    </tableColumn>
    <tableColumn id="11" name="Rest value" dataDxfId="497" totalsRowDxfId="496"/>
    <tableColumn id="12" name="Total depreciation costs" totalsRowFunction="sum" dataDxfId="495" totalsRowDxfId="494">
      <calculatedColumnFormula>tblSalesData8108290[[#This Row],[Purchase cost]]-tblSalesData8108290[[#This Row],[Rest value]]</calculatedColumnFormula>
    </tableColumn>
    <tableColumn id="7" name="Monthly depreciation costs" totalsRowFunction="sum" dataDxfId="493" totalsRowDxfId="492"/>
  </tableColumns>
  <tableStyleInfo name="Cash Register Sales" showFirstColumn="0" showLastColumn="1" showRowStripes="1" showColumnStripes="0"/>
</table>
</file>

<file path=xl/tables/table37.xml><?xml version="1.0" encoding="utf-8"?>
<table xmlns="http://schemas.openxmlformats.org/spreadsheetml/2006/main" id="90" name="tblSalesData8108391" displayName="tblSalesData8108391" ref="B61:J64" totalsRowCount="1" headerRowDxfId="491" dataDxfId="490" totalsRowDxfId="489">
  <autoFilter ref="B61:J63"/>
  <tableColumns count="9">
    <tableColumn id="1" name="Purchase data" dataDxfId="488" totalsRowDxfId="487"/>
    <tableColumn id="4" name="No." dataDxfId="486" totalsRowDxfId="485"/>
    <tableColumn id="2" name="Material type" dataDxfId="484" totalsRowDxfId="483"/>
    <tableColumn id="3" name="Purchase cost" dataDxfId="482" totalsRowDxfId="481"/>
    <tableColumn id="8" name="Depreciation date" dataDxfId="480" totalsRowDxfId="479"/>
    <tableColumn id="5" name="Valuable months" dataDxfId="478" totalsRowDxfId="477">
      <calculatedColumnFormula>DATEDIF(B62,F62,"m")</calculatedColumnFormula>
    </tableColumn>
    <tableColumn id="11" name="Rest value" dataDxfId="476" totalsRowDxfId="475"/>
    <tableColumn id="12" name="Total depreciation costs" totalsRowFunction="sum" dataDxfId="474" totalsRowDxfId="473">
      <calculatedColumnFormula>tblSalesData8108391[[#This Row],[Purchase cost]]-tblSalesData8108391[[#This Row],[Rest value]]</calculatedColumnFormula>
    </tableColumn>
    <tableColumn id="7" name="Monthly depreciation costs" totalsRowFunction="sum" dataDxfId="472" totalsRowDxfId="471"/>
  </tableColumns>
  <tableStyleInfo name="Cash Register Sales" showFirstColumn="0" showLastColumn="1" showRowStripes="1" showColumnStripes="0"/>
</table>
</file>

<file path=xl/tables/table38.xml><?xml version="1.0" encoding="utf-8"?>
<table xmlns="http://schemas.openxmlformats.org/spreadsheetml/2006/main" id="91" name="tblSalesData8108492" displayName="tblSalesData8108492" ref="B66:J69" totalsRowCount="1" headerRowDxfId="470" dataDxfId="469" totalsRowDxfId="468">
  <autoFilter ref="B66:J68"/>
  <tableColumns count="9">
    <tableColumn id="1" name="Purchase data" dataDxfId="467" totalsRowDxfId="466"/>
    <tableColumn id="4" name="No." dataDxfId="465" totalsRowDxfId="464"/>
    <tableColumn id="2" name="Material type" dataDxfId="463" totalsRowDxfId="462"/>
    <tableColumn id="3" name="Purchase cost" dataDxfId="461" totalsRowDxfId="460"/>
    <tableColumn id="8" name="Depreciation date" dataDxfId="459" totalsRowDxfId="458"/>
    <tableColumn id="5" name="Valuable months" dataDxfId="457" totalsRowDxfId="456">
      <calculatedColumnFormula>DATEDIF(B67,F67,"m")</calculatedColumnFormula>
    </tableColumn>
    <tableColumn id="11" name="Rest value" dataDxfId="455" totalsRowDxfId="454"/>
    <tableColumn id="12" name="Total depreciation costs" totalsRowFunction="sum" dataDxfId="453" totalsRowDxfId="452">
      <calculatedColumnFormula>tblSalesData8108492[[#This Row],[Purchase cost]]-tblSalesData8108492[[#This Row],[Rest value]]</calculatedColumnFormula>
    </tableColumn>
    <tableColumn id="7" name="Monthly depreciation costs" totalsRowFunction="sum" dataDxfId="451" totalsRowDxfId="450"/>
  </tableColumns>
  <tableStyleInfo name="Cash Register Sales" showFirstColumn="0" showLastColumn="1" showRowStripes="1" showColumnStripes="0"/>
</table>
</file>

<file path=xl/tables/table39.xml><?xml version="1.0" encoding="utf-8"?>
<table xmlns="http://schemas.openxmlformats.org/spreadsheetml/2006/main" id="92" name="tblSalesData810849293" displayName="tblSalesData810849293" ref="B71:J74" totalsRowCount="1" headerRowDxfId="449" dataDxfId="448" totalsRowDxfId="447">
  <autoFilter ref="B71:J73"/>
  <tableColumns count="9">
    <tableColumn id="1" name="Purchase data" dataDxfId="446" totalsRowDxfId="445"/>
    <tableColumn id="4" name="No." dataDxfId="444" totalsRowDxfId="443"/>
    <tableColumn id="2" name="Material type" dataDxfId="442" totalsRowDxfId="441"/>
    <tableColumn id="3" name="Purchase cost" dataDxfId="440" totalsRowDxfId="439"/>
    <tableColumn id="8" name="Depreciation date" dataDxfId="438" totalsRowDxfId="437"/>
    <tableColumn id="5" name="Valuable months" dataDxfId="436" totalsRowDxfId="435">
      <calculatedColumnFormula>DATEDIF(B72,F72,"m")</calculatedColumnFormula>
    </tableColumn>
    <tableColumn id="11" name="Rest value" dataDxfId="434" totalsRowDxfId="433"/>
    <tableColumn id="12" name="Total depreciation costs" totalsRowFunction="sum" dataDxfId="432" totalsRowDxfId="431">
      <calculatedColumnFormula>tblSalesData810849293[[#This Row],[Purchase cost]]-tblSalesData810849293[[#This Row],[Rest value]]</calculatedColumnFormula>
    </tableColumn>
    <tableColumn id="7" name="Monthly depreciation costs" totalsRowFunction="sum" dataDxfId="430" totalsRowDxfId="429"/>
  </tableColumns>
  <tableStyleInfo name="Cash Register Sales" showFirstColumn="0" showLastColumn="1" showRowStripes="1" showColumnStripes="0"/>
</table>
</file>

<file path=xl/tables/table4.xml><?xml version="1.0" encoding="utf-8"?>
<table xmlns="http://schemas.openxmlformats.org/spreadsheetml/2006/main" id="24" name="tblSalesData2325" displayName="tblSalesData2325" ref="C51:P63" totalsRowCount="1" totalsRowDxfId="1148">
  <autoFilter ref="C51:P62"/>
  <tableColumns count="14">
    <tableColumn id="1" name="DATE" dataDxfId="1147" totalsRowDxfId="1146"/>
    <tableColumn id="10" name="No." dataDxfId="1145" totalsRowDxfId="1144"/>
    <tableColumn id="3" name="Description" dataDxfId="1143" totalsRowDxfId="1142"/>
    <tableColumn id="8" name="Customer segment" dataDxfId="1141" totalsRowDxfId="1140"/>
    <tableColumn id="11" name="Provided service" dataDxfId="1139" totalsRowDxfId="1138"/>
    <tableColumn id="12" name="Used materials" dataDxfId="1137" totalsRowDxfId="1136"/>
    <tableColumn id="13" name="Costs for materials" totalsRowFunction="sum" dataDxfId="1135" totalsRowDxfId="1134"/>
    <tableColumn id="14" name="Selling price materials" totalsRowFunction="sum" dataDxfId="1133" totalsRowDxfId="1132"/>
    <tableColumn id="5" name="Hours of work" totalsRowFunction="sum" dataDxfId="1131" totalsRowDxfId="1130"/>
    <tableColumn id="9" name="Other expenses" totalsRowFunction="sum" dataDxfId="1129" totalsRowDxfId="1128"/>
    <tableColumn id="4" name="Description of other expenses" dataDxfId="1127" totalsRowDxfId="1126"/>
    <tableColumn id="6" name="Labor income" totalsRowFunction="sum" dataDxfId="1125" totalsRowDxfId="1124"/>
    <tableColumn id="2" name="Total price" totalsRowFunction="sum" dataDxfId="1123" totalsRowDxfId="1122">
      <calculatedColumnFormula>SUM(tblSalesData2325[[#This Row],[Labor income]]+tblSalesData2325[[#This Row],[Other expenses]]+tblSalesData2325[[#This Row],[Selling price materials]])</calculatedColumnFormula>
    </tableColumn>
    <tableColumn id="7" name="Gross Profit" totalsRowFunction="sum" dataDxfId="1121" totalsRowDxfId="1120">
      <calculatedColumnFormula>tblSalesData2325[[#This Row],[Total price]]-tblSalesData2325[[#This Row],[Costs for materials]]</calculatedColumnFormula>
    </tableColumn>
  </tableColumns>
  <tableStyleInfo name="Cash Register Sales" showFirstColumn="0" showLastColumn="1" showRowStripes="1" showColumnStripes="0"/>
</table>
</file>

<file path=xl/tables/table40.xml><?xml version="1.0" encoding="utf-8"?>
<table xmlns="http://schemas.openxmlformats.org/spreadsheetml/2006/main" id="8" name="tblSalesData89" displayName="tblSalesData89" ref="B8:H15" totalsRowCount="1" headerRowDxfId="428" dataDxfId="427" totalsRowDxfId="426">
  <autoFilter ref="B8:H14"/>
  <tableColumns count="7">
    <tableColumn id="1" name="Date of payment" dataDxfId="425" totalsRowDxfId="52"/>
    <tableColumn id="4" name="No." dataDxfId="424" totalsRowDxfId="51"/>
    <tableColumn id="2" name="Name of employee" dataDxfId="423" totalsRowDxfId="50"/>
    <tableColumn id="3" name="Type of job" dataDxfId="422" totalsRowDxfId="49"/>
    <tableColumn id="8" name="Salary or labor costs" totalsRowFunction="sum" dataDxfId="421" totalsRowDxfId="48"/>
    <tableColumn id="12" name="TAXES in %" totalsRowFunction="custom" dataDxfId="420" totalsRowDxfId="47">
      <totalsRowFormula>SUBTOTAL(1,tblSalesData89[TAXES in %])</totalsRowFormula>
    </tableColumn>
    <tableColumn id="7" name="Total payment" totalsRowFunction="sum" dataDxfId="419" totalsRowDxfId="46">
      <calculatedColumnFormula>tblSalesData89[[#This Row],[Salary or labor costs]]-tblSalesData89[[#This Row],[TAXES in %]]</calculatedColumnFormula>
    </tableColumn>
  </tableColumns>
  <tableStyleInfo name="Cash Register Sales" showFirstColumn="0" showLastColumn="1" showRowStripes="1" showColumnStripes="0"/>
</table>
</file>

<file path=xl/tables/table41.xml><?xml version="1.0" encoding="utf-8"?>
<table xmlns="http://schemas.openxmlformats.org/spreadsheetml/2006/main" id="47" name="tblSalesData8948" displayName="tblSalesData8948" ref="B18:H25" totalsRowCount="1" headerRowDxfId="418" dataDxfId="417" totalsRowDxfId="416">
  <autoFilter ref="B18:H24"/>
  <tableColumns count="7">
    <tableColumn id="1" name="Date of payment" dataDxfId="415" totalsRowDxfId="414"/>
    <tableColumn id="4" name="No." dataDxfId="413" totalsRowDxfId="412"/>
    <tableColumn id="2" name="Name of employee" dataDxfId="411" totalsRowDxfId="410"/>
    <tableColumn id="3" name="Type of job" dataDxfId="409" totalsRowDxfId="408"/>
    <tableColumn id="8" name="Salary or labor costs" totalsRowFunction="sum" dataDxfId="407" totalsRowDxfId="406"/>
    <tableColumn id="12" name="TAXES in %" totalsRowFunction="custom" dataDxfId="405" totalsRowDxfId="404">
      <totalsRowFormula>SUBTOTAL(1,tblSalesData8948[TAXES in %])</totalsRowFormula>
    </tableColumn>
    <tableColumn id="7" name="Total payment" totalsRowFunction="sum" dataDxfId="403" totalsRowDxfId="402">
      <calculatedColumnFormula>tblSalesData8948[[#This Row],[Salary or labor costs]]+tblSalesData8948[[#This Row],[Salary or labor costs]]*tblSalesData8948[[#This Row],[TAXES in %]]</calculatedColumnFormula>
    </tableColumn>
  </tableColumns>
  <tableStyleInfo name="Cash Register Sales" showFirstColumn="0" showLastColumn="1" showRowStripes="1" showColumnStripes="0"/>
</table>
</file>

<file path=xl/tables/table42.xml><?xml version="1.0" encoding="utf-8"?>
<table xmlns="http://schemas.openxmlformats.org/spreadsheetml/2006/main" id="48" name="tblSalesData8949" displayName="tblSalesData8949" ref="B28:H35" totalsRowCount="1" headerRowDxfId="401" dataDxfId="400" totalsRowDxfId="399">
  <autoFilter ref="B28:H34"/>
  <tableColumns count="7">
    <tableColumn id="1" name="Date of payment" dataDxfId="398" totalsRowDxfId="397"/>
    <tableColumn id="4" name="No." dataDxfId="396" totalsRowDxfId="395"/>
    <tableColumn id="2" name="Name of employee" dataDxfId="394" totalsRowDxfId="393"/>
    <tableColumn id="3" name="Type of job" dataDxfId="392" totalsRowDxfId="391"/>
    <tableColumn id="8" name="Salary or labor costs" totalsRowFunction="sum" dataDxfId="390" totalsRowDxfId="389"/>
    <tableColumn id="12" name="TAXES in %" totalsRowFunction="custom" dataDxfId="388" totalsRowDxfId="387">
      <totalsRowFormula>SUBTOTAL(1,tblSalesData8949[TAXES in %])</totalsRowFormula>
    </tableColumn>
    <tableColumn id="7" name="Total payment" totalsRowFunction="sum" dataDxfId="386" totalsRowDxfId="385">
      <calculatedColumnFormula>tblSalesData8949[[#This Row],[Salary or labor costs]]+tblSalesData8949[[#This Row],[Salary or labor costs]]*tblSalesData8949[[#This Row],[TAXES in %]]</calculatedColumnFormula>
    </tableColumn>
  </tableColumns>
  <tableStyleInfo name="Cash Register Sales" showFirstColumn="0" showLastColumn="1" showRowStripes="1" showColumnStripes="0"/>
</table>
</file>

<file path=xl/tables/table43.xml><?xml version="1.0" encoding="utf-8"?>
<table xmlns="http://schemas.openxmlformats.org/spreadsheetml/2006/main" id="49" name="tblSalesData894850" displayName="tblSalesData894850" ref="B38:H45" totalsRowCount="1" headerRowDxfId="384" dataDxfId="383" totalsRowDxfId="382">
  <autoFilter ref="B38:H44"/>
  <tableColumns count="7">
    <tableColumn id="1" name="Date of payment" dataDxfId="381" totalsRowDxfId="380"/>
    <tableColumn id="4" name="No." dataDxfId="379" totalsRowDxfId="378"/>
    <tableColumn id="2" name="Name of employee" dataDxfId="377" totalsRowDxfId="376"/>
    <tableColumn id="3" name="Type of job" dataDxfId="375" totalsRowDxfId="374"/>
    <tableColumn id="8" name="Salary or labor costs" totalsRowFunction="sum" dataDxfId="373" totalsRowDxfId="372"/>
    <tableColumn id="12" name="TAXES in %" totalsRowFunction="custom" dataDxfId="371" totalsRowDxfId="370">
      <totalsRowFormula>SUBTOTAL(1,tblSalesData894850[TAXES in %])</totalsRowFormula>
    </tableColumn>
    <tableColumn id="7" name="Total payment" totalsRowFunction="sum" dataDxfId="369" totalsRowDxfId="368">
      <calculatedColumnFormula>tblSalesData894850[[#This Row],[Salary or labor costs]]+tblSalesData894850[[#This Row],[Salary or labor costs]]*tblSalesData894850[[#This Row],[TAXES in %]]</calculatedColumnFormula>
    </tableColumn>
  </tableColumns>
  <tableStyleInfo name="Cash Register Sales" showFirstColumn="0" showLastColumn="1" showRowStripes="1" showColumnStripes="0"/>
</table>
</file>

<file path=xl/tables/table44.xml><?xml version="1.0" encoding="utf-8"?>
<table xmlns="http://schemas.openxmlformats.org/spreadsheetml/2006/main" id="50" name="tblSalesData8951" displayName="tblSalesData8951" ref="B48:H55" totalsRowCount="1" headerRowDxfId="367" dataDxfId="366" totalsRowDxfId="365">
  <autoFilter ref="B48:H54"/>
  <tableColumns count="7">
    <tableColumn id="1" name="Date of payment" dataDxfId="364" totalsRowDxfId="363"/>
    <tableColumn id="4" name="No." dataDxfId="362" totalsRowDxfId="361"/>
    <tableColumn id="2" name="Name of employee" dataDxfId="360" totalsRowDxfId="359"/>
    <tableColumn id="3" name="Type of job" dataDxfId="358" totalsRowDxfId="357"/>
    <tableColumn id="8" name="Salary or labor costs" totalsRowFunction="sum" dataDxfId="356" totalsRowDxfId="355"/>
    <tableColumn id="12" name="TAXES in %" totalsRowFunction="custom" dataDxfId="354" totalsRowDxfId="353">
      <totalsRowFormula>SUBTOTAL(1,tblSalesData8951[TAXES in %])</totalsRowFormula>
    </tableColumn>
    <tableColumn id="7" name="Total payment" totalsRowFunction="sum" dataDxfId="352" totalsRowDxfId="351">
      <calculatedColumnFormula>tblSalesData8951[[#This Row],[Salary or labor costs]]+tblSalesData8951[[#This Row],[Salary or labor costs]]*tblSalesData8951[[#This Row],[TAXES in %]]</calculatedColumnFormula>
    </tableColumn>
  </tableColumns>
  <tableStyleInfo name="Cash Register Sales" showFirstColumn="0" showLastColumn="1" showRowStripes="1" showColumnStripes="0"/>
</table>
</file>

<file path=xl/tables/table45.xml><?xml version="1.0" encoding="utf-8"?>
<table xmlns="http://schemas.openxmlformats.org/spreadsheetml/2006/main" id="51" name="tblSalesData894852" displayName="tblSalesData894852" ref="B58:H65" totalsRowCount="1" headerRowDxfId="350" dataDxfId="349" totalsRowDxfId="348">
  <autoFilter ref="B58:H64"/>
  <tableColumns count="7">
    <tableColumn id="1" name="Date of payment" dataDxfId="347" totalsRowDxfId="346"/>
    <tableColumn id="4" name="No." dataDxfId="345" totalsRowDxfId="344"/>
    <tableColumn id="2" name="Name of employee" dataDxfId="343" totalsRowDxfId="342"/>
    <tableColumn id="3" name="Type of job" dataDxfId="341" totalsRowDxfId="340"/>
    <tableColumn id="8" name="Salary or labor costs" totalsRowFunction="sum" dataDxfId="339" totalsRowDxfId="338"/>
    <tableColumn id="12" name="TAXES in %" totalsRowFunction="custom" dataDxfId="337" totalsRowDxfId="336">
      <totalsRowFormula>SUBTOTAL(1,tblSalesData894852[TAXES in %])</totalsRowFormula>
    </tableColumn>
    <tableColumn id="7" name="Total payment" totalsRowFunction="sum" dataDxfId="335" totalsRowDxfId="334">
      <calculatedColumnFormula>tblSalesData894852[[#This Row],[Salary or labor costs]]+tblSalesData894852[[#This Row],[Salary or labor costs]]*tblSalesData894852[[#This Row],[TAXES in %]]</calculatedColumnFormula>
    </tableColumn>
  </tableColumns>
  <tableStyleInfo name="Cash Register Sales" showFirstColumn="0" showLastColumn="1" showRowStripes="1" showColumnStripes="0"/>
</table>
</file>

<file path=xl/tables/table46.xml><?xml version="1.0" encoding="utf-8"?>
<table xmlns="http://schemas.openxmlformats.org/spreadsheetml/2006/main" id="52" name="tblSalesData8953" displayName="tblSalesData8953" ref="B68:H75" totalsRowCount="1" headerRowDxfId="333" dataDxfId="332" totalsRowDxfId="331">
  <autoFilter ref="B68:H74"/>
  <tableColumns count="7">
    <tableColumn id="1" name="Date of payment" dataDxfId="330" totalsRowDxfId="329"/>
    <tableColumn id="4" name="No." dataDxfId="328" totalsRowDxfId="327"/>
    <tableColumn id="2" name="Name of employee" dataDxfId="326" totalsRowDxfId="325"/>
    <tableColumn id="3" name="Type of job" dataDxfId="324" totalsRowDxfId="323"/>
    <tableColumn id="8" name="Salary or labor costs" totalsRowFunction="sum" dataDxfId="322" totalsRowDxfId="321"/>
    <tableColumn id="12" name="TAXES in %" totalsRowFunction="custom" dataDxfId="320" totalsRowDxfId="319">
      <totalsRowFormula>SUBTOTAL(1,tblSalesData8953[TAXES in %])</totalsRowFormula>
    </tableColumn>
    <tableColumn id="7" name="Total payment" totalsRowFunction="sum" dataDxfId="318" totalsRowDxfId="317">
      <calculatedColumnFormula>tblSalesData8953[[#This Row],[Salary or labor costs]]+tblSalesData8953[[#This Row],[Salary or labor costs]]*tblSalesData8953[[#This Row],[TAXES in %]]</calculatedColumnFormula>
    </tableColumn>
  </tableColumns>
  <tableStyleInfo name="Cash Register Sales" showFirstColumn="0" showLastColumn="1" showRowStripes="1" showColumnStripes="0"/>
</table>
</file>

<file path=xl/tables/table47.xml><?xml version="1.0" encoding="utf-8"?>
<table xmlns="http://schemas.openxmlformats.org/spreadsheetml/2006/main" id="53" name="tblSalesData894854" displayName="tblSalesData894854" ref="B78:H85" totalsRowCount="1" headerRowDxfId="316" dataDxfId="315" totalsRowDxfId="314">
  <autoFilter ref="B78:H84"/>
  <tableColumns count="7">
    <tableColumn id="1" name="Date of payment" dataDxfId="313" totalsRowDxfId="312"/>
    <tableColumn id="4" name="No." dataDxfId="311" totalsRowDxfId="310"/>
    <tableColumn id="2" name="Name of employee" dataDxfId="309" totalsRowDxfId="308"/>
    <tableColumn id="3" name="Type of job" dataDxfId="307" totalsRowDxfId="306"/>
    <tableColumn id="8" name="Salary or labor costs" totalsRowFunction="sum" dataDxfId="305" totalsRowDxfId="304"/>
    <tableColumn id="12" name="TAXES in %" totalsRowFunction="custom" dataDxfId="303" totalsRowDxfId="302">
      <totalsRowFormula>SUBTOTAL(1,tblSalesData894854[TAXES in %])</totalsRowFormula>
    </tableColumn>
    <tableColumn id="7" name="Total payment" totalsRowFunction="sum" dataDxfId="301" totalsRowDxfId="300">
      <calculatedColumnFormula>tblSalesData894854[[#This Row],[Salary or labor costs]]+tblSalesData894854[[#This Row],[Salary or labor costs]]*tblSalesData894854[[#This Row],[TAXES in %]]</calculatedColumnFormula>
    </tableColumn>
  </tableColumns>
  <tableStyleInfo name="Cash Register Sales" showFirstColumn="0" showLastColumn="1" showRowStripes="1" showColumnStripes="0"/>
</table>
</file>

<file path=xl/tables/table48.xml><?xml version="1.0" encoding="utf-8"?>
<table xmlns="http://schemas.openxmlformats.org/spreadsheetml/2006/main" id="54" name="tblSalesData894955" displayName="tblSalesData894955" ref="B88:H95" totalsRowCount="1" headerRowDxfId="299" dataDxfId="298" totalsRowDxfId="297">
  <autoFilter ref="B88:H94"/>
  <tableColumns count="7">
    <tableColumn id="1" name="Date of payment" dataDxfId="296" totalsRowDxfId="295"/>
    <tableColumn id="4" name="No." dataDxfId="294" totalsRowDxfId="293"/>
    <tableColumn id="2" name="Name of employee" dataDxfId="292" totalsRowDxfId="291"/>
    <tableColumn id="3" name="Type of job" dataDxfId="290" totalsRowDxfId="289"/>
    <tableColumn id="8" name="Salary or labor costs" totalsRowFunction="sum" dataDxfId="288" totalsRowDxfId="287"/>
    <tableColumn id="12" name="TAXES in %" totalsRowFunction="custom" dataDxfId="286" totalsRowDxfId="285">
      <totalsRowFormula>SUBTOTAL(1,tblSalesData894955[TAXES in %])</totalsRowFormula>
    </tableColumn>
    <tableColumn id="7" name="Total payment" totalsRowFunction="sum" dataDxfId="284" totalsRowDxfId="283">
      <calculatedColumnFormula>tblSalesData894955[[#This Row],[Salary or labor costs]]+tblSalesData894955[[#This Row],[Salary or labor costs]]*tblSalesData894955[[#This Row],[TAXES in %]]</calculatedColumnFormula>
    </tableColumn>
  </tableColumns>
  <tableStyleInfo name="Cash Register Sales" showFirstColumn="0" showLastColumn="1" showRowStripes="1" showColumnStripes="0"/>
</table>
</file>

<file path=xl/tables/table49.xml><?xml version="1.0" encoding="utf-8"?>
<table xmlns="http://schemas.openxmlformats.org/spreadsheetml/2006/main" id="55" name="tblSalesData89485056" displayName="tblSalesData89485056" ref="B98:H105" totalsRowCount="1" headerRowDxfId="282" dataDxfId="281" totalsRowDxfId="280">
  <autoFilter ref="B98:H104"/>
  <tableColumns count="7">
    <tableColumn id="1" name="Date of payment" dataDxfId="279" totalsRowDxfId="278"/>
    <tableColumn id="4" name="No." dataDxfId="277" totalsRowDxfId="276"/>
    <tableColumn id="2" name="Name of employee" dataDxfId="275" totalsRowDxfId="274"/>
    <tableColumn id="3" name="Type of job" dataDxfId="273" totalsRowDxfId="272"/>
    <tableColumn id="8" name="Salary or labor costs" totalsRowFunction="sum" dataDxfId="271" totalsRowDxfId="270"/>
    <tableColumn id="12" name="TAXES in %" totalsRowFunction="custom" dataDxfId="269" totalsRowDxfId="268">
      <totalsRowFormula>SUBTOTAL(1,tblSalesData89485056[TAXES in %])</totalsRowFormula>
    </tableColumn>
    <tableColumn id="7" name="Total payment" totalsRowFunction="sum" dataDxfId="267" totalsRowDxfId="266">
      <calculatedColumnFormula>tblSalesData89485056[[#This Row],[Salary or labor costs]]+tblSalesData89485056[[#This Row],[Salary or labor costs]]*tblSalesData89485056[[#This Row],[TAXES in %]]</calculatedColumnFormula>
    </tableColumn>
  </tableColumns>
  <tableStyleInfo name="Cash Register Sales" showFirstColumn="0" showLastColumn="1" showRowStripes="1" showColumnStripes="0"/>
</table>
</file>

<file path=xl/tables/table5.xml><?xml version="1.0" encoding="utf-8"?>
<table xmlns="http://schemas.openxmlformats.org/spreadsheetml/2006/main" id="93" name="tblSalesData94" displayName="tblSalesData94" ref="C66:P77" totalsRowCount="1" headerRowDxfId="1119" dataDxfId="1118" totalsRowDxfId="1117">
  <autoFilter ref="C66:P76"/>
  <tableColumns count="14">
    <tableColumn id="1" name="DATE" dataDxfId="1116" totalsRowDxfId="1115"/>
    <tableColumn id="10" name="No." dataDxfId="1114" totalsRowDxfId="1113"/>
    <tableColumn id="3" name="Description" dataDxfId="1112" totalsRowDxfId="1111"/>
    <tableColumn id="8" name="Customer segment" dataDxfId="1110" totalsRowDxfId="1109"/>
    <tableColumn id="11" name="Provided service" dataDxfId="1108" totalsRowDxfId="1107"/>
    <tableColumn id="12" name="Used materials" dataDxfId="1106" totalsRowDxfId="1105"/>
    <tableColumn id="13" name="Costs for materials" totalsRowFunction="sum" dataDxfId="1104" totalsRowDxfId="1103"/>
    <tableColumn id="14" name="Selling price materials" totalsRowFunction="custom" dataDxfId="1102" totalsRowDxfId="1101">
      <totalsRowFormula>SUM(tblSalesData94[Selling price materials])</totalsRowFormula>
    </tableColumn>
    <tableColumn id="5" name="Hours of work" totalsRowFunction="sum" dataDxfId="1100" totalsRowDxfId="1099"/>
    <tableColumn id="9" name="Other expenses" totalsRowFunction="custom" dataDxfId="1098" totalsRowDxfId="1097">
      <totalsRowFormula>SUM(tblSalesData94[Other expenses])</totalsRowFormula>
    </tableColumn>
    <tableColumn id="4" name="Description of other expenses" dataDxfId="1096" totalsRowDxfId="1095"/>
    <tableColumn id="6" name="Labor income" totalsRowFunction="sum" dataDxfId="1094" totalsRowDxfId="1093"/>
    <tableColumn id="2" name="Total price" totalsRowFunction="sum" dataDxfId="1092" totalsRowDxfId="1091">
      <calculatedColumnFormula>tblSalesData94[[#This Row],[Labor income]]+tblSalesData94[[#This Row],[Selling price materials]]</calculatedColumnFormula>
    </tableColumn>
    <tableColumn id="7" name="Gross Profit" totalsRowFunction="sum" dataDxfId="1090" totalsRowDxfId="1089">
      <calculatedColumnFormula>tblSalesData94[[#This Row],[Total price]]-tblSalesData94[[#This Row],[Costs for materials]]</calculatedColumnFormula>
    </tableColumn>
  </tableColumns>
  <tableStyleInfo name="Cash Register Sales" showFirstColumn="0" showLastColumn="1" showRowStripes="1" showColumnStripes="0"/>
</table>
</file>

<file path=xl/tables/table50.xml><?xml version="1.0" encoding="utf-8"?>
<table xmlns="http://schemas.openxmlformats.org/spreadsheetml/2006/main" id="56" name="tblSalesData895157" displayName="tblSalesData895157" ref="B108:H115" totalsRowCount="1" headerRowDxfId="265" dataDxfId="264" totalsRowDxfId="263">
  <autoFilter ref="B108:H114"/>
  <tableColumns count="7">
    <tableColumn id="1" name="Date of payment" dataDxfId="262" totalsRowDxfId="261"/>
    <tableColumn id="4" name="No." dataDxfId="260" totalsRowDxfId="259"/>
    <tableColumn id="2" name="Name of employee" dataDxfId="258" totalsRowDxfId="257"/>
    <tableColumn id="3" name="Type of job" dataDxfId="256" totalsRowDxfId="255"/>
    <tableColumn id="8" name="Salary or labor costs" totalsRowFunction="sum" dataDxfId="254" totalsRowDxfId="253"/>
    <tableColumn id="12" name="TAXES in %" totalsRowFunction="custom" dataDxfId="252" totalsRowDxfId="251">
      <totalsRowFormula>SUBTOTAL(1,tblSalesData895157[TAXES in %])</totalsRowFormula>
    </tableColumn>
    <tableColumn id="7" name="Total payment" totalsRowFunction="sum" dataDxfId="250" totalsRowDxfId="249">
      <calculatedColumnFormula>tblSalesData895157[[#This Row],[Salary or labor costs]]+tblSalesData895157[[#This Row],[Salary or labor costs]]*tblSalesData895157[[#This Row],[TAXES in %]]</calculatedColumnFormula>
    </tableColumn>
  </tableColumns>
  <tableStyleInfo name="Cash Register Sales" showFirstColumn="0" showLastColumn="1" showRowStripes="1" showColumnStripes="0"/>
</table>
</file>

<file path=xl/tables/table51.xml><?xml version="1.0" encoding="utf-8"?>
<table xmlns="http://schemas.openxmlformats.org/spreadsheetml/2006/main" id="57" name="tblSalesData89485258" displayName="tblSalesData89485258" ref="B118:H125" totalsRowCount="1" headerRowDxfId="248" dataDxfId="247" totalsRowDxfId="246">
  <autoFilter ref="B118:H124"/>
  <tableColumns count="7">
    <tableColumn id="1" name="Date of payment" dataDxfId="245" totalsRowDxfId="244"/>
    <tableColumn id="4" name="No." dataDxfId="243" totalsRowDxfId="242"/>
    <tableColumn id="2" name="Name of employee" dataDxfId="241" totalsRowDxfId="240"/>
    <tableColumn id="3" name="Type of job" dataDxfId="239" totalsRowDxfId="238"/>
    <tableColumn id="8" name="Salary or labor costs" totalsRowFunction="sum" dataDxfId="237" totalsRowDxfId="236"/>
    <tableColumn id="12" name="TAXES in %" totalsRowFunction="custom" dataDxfId="235" totalsRowDxfId="234">
      <totalsRowFormula>SUBTOTAL(1,tblSalesData89485258[TAXES in %])</totalsRowFormula>
    </tableColumn>
    <tableColumn id="7" name="Total payment" totalsRowFunction="sum" dataDxfId="233" totalsRowDxfId="232">
      <calculatedColumnFormula>tblSalesData89485258[[#This Row],[Salary or labor costs]]+tblSalesData89485258[[#This Row],[Salary or labor costs]]*tblSalesData89485258[[#This Row],[TAXES in %]]</calculatedColumnFormula>
    </tableColumn>
  </tableColumns>
  <tableStyleInfo name="Cash Register Sales" showFirstColumn="0" showLastColumn="1" showRowStripes="1" showColumnStripes="0"/>
</table>
</file>

<file path=xl/tables/table52.xml><?xml version="1.0" encoding="utf-8"?>
<table xmlns="http://schemas.openxmlformats.org/spreadsheetml/2006/main" id="2" name="tblSalesData893" displayName="tblSalesData893" ref="B7:I20" totalsRowCount="1" headerRowDxfId="231" dataDxfId="230" totalsRowDxfId="229">
  <autoFilter ref="B7:I19"/>
  <tableColumns count="8">
    <tableColumn id="1" name="Date of payment" dataDxfId="228" totalsRowDxfId="43"/>
    <tableColumn id="2" name="Description" dataDxfId="227" totalsRowDxfId="42"/>
    <tableColumn id="3" name="No." dataDxfId="226" totalsRowDxfId="41"/>
    <tableColumn id="8" name="Amount of loan" dataDxfId="225" totalsRowDxfId="40"/>
    <tableColumn id="4" name="Interest" dataDxfId="224" totalsRowDxfId="39"/>
    <tableColumn id="12" name="Total" dataDxfId="223" totalsRowDxfId="38">
      <calculatedColumnFormula>tblSalesData893[[#This Row],[Amount of loan]]+(tblSalesData893[[#This Row],[Amount of loan]]*tblSalesData893[[#This Row],[Interest]])</calculatedColumnFormula>
    </tableColumn>
    <tableColumn id="6" name="Remaining" dataDxfId="44" totalsRowDxfId="37">
      <calculatedColumnFormula>tblSalesData893[[#This Row],[Total]]-tblSalesData893[[#This Row],[Monthly payment]]</calculatedColumnFormula>
    </tableColumn>
    <tableColumn id="7" name="Monthly payment" totalsRowFunction="sum" dataDxfId="45" totalsRowDxfId="36">
      <calculatedColumnFormula>tblSalesData893[[#This Row],[Total]]/5/12</calculatedColumnFormula>
    </tableColumn>
  </tableColumns>
  <tableStyleInfo name="Cash Register Sales" showFirstColumn="0" showLastColumn="1" showRowStripes="1" showColumnStripes="0"/>
</table>
</file>

<file path=xl/tables/table53.xml><?xml version="1.0" encoding="utf-8"?>
<table xmlns="http://schemas.openxmlformats.org/spreadsheetml/2006/main" id="3" name="tblSalesData674" displayName="tblSalesData674" ref="B17:C22" totalsRowCount="1" headerRowDxfId="222" dataDxfId="221" totalsRowDxfId="220">
  <autoFilter ref="B17:C21"/>
  <tableColumns count="2">
    <tableColumn id="1" name="Type" dataDxfId="219" totalsRowDxfId="35"/>
    <tableColumn id="5" name="Total" totalsRowFunction="sum" dataDxfId="218" totalsRowDxfId="34"/>
  </tableColumns>
  <tableStyleInfo name="Cash Register Sales" showFirstColumn="0" showLastColumn="1" showRowStripes="1" showColumnStripes="0"/>
</table>
</file>

<file path=xl/tables/table54.xml><?xml version="1.0" encoding="utf-8"?>
<table xmlns="http://schemas.openxmlformats.org/spreadsheetml/2006/main" id="15" name="tblSalesData6516" displayName="tblSalesData6516" ref="A8:C10" totalsRowCount="1" headerRowDxfId="217" dataDxfId="216" totalsRowDxfId="215">
  <autoFilter ref="A8:C9"/>
  <tableColumns count="3">
    <tableColumn id="1" name="DATE" dataDxfId="214" totalsRowDxfId="213"/>
    <tableColumn id="2" name="Total Income" dataDxfId="212" totalsRowDxfId="211">
      <calculatedColumnFormula>tblSalesData6[[#Totals],[Total income]]</calculatedColumnFormula>
    </tableColumn>
    <tableColumn id="5" name="Gross Profit" totalsRowFunction="sum" dataDxfId="210" totalsRowDxfId="209">
      <calculatedColumnFormula>tblSalesData6[[#Totals],[Gross Profit]]</calculatedColumnFormula>
    </tableColumn>
  </tableColumns>
  <tableStyleInfo name="Cash Register Sales" showFirstColumn="0" showLastColumn="1" showRowStripes="1" showColumnStripes="0"/>
</table>
</file>

<file path=xl/tables/table55.xml><?xml version="1.0" encoding="utf-8"?>
<table xmlns="http://schemas.openxmlformats.org/spreadsheetml/2006/main" id="19" name="tblSalesData67420" displayName="tblSalesData67420" ref="B41:C46" totalsRowCount="1" headerRowDxfId="208" dataDxfId="207" totalsRowDxfId="206">
  <autoFilter ref="B41:C45"/>
  <tableColumns count="2">
    <tableColumn id="1" name="Type" dataDxfId="205" totalsRowDxfId="33"/>
    <tableColumn id="5" name="Total" totalsRowFunction="sum" dataDxfId="204" totalsRowDxfId="32"/>
  </tableColumns>
  <tableStyleInfo name="Cash Register Sales" showFirstColumn="0" showLastColumn="1" showRowStripes="1" showColumnStripes="0"/>
</table>
</file>

<file path=xl/tables/table56.xml><?xml version="1.0" encoding="utf-8"?>
<table xmlns="http://schemas.openxmlformats.org/spreadsheetml/2006/main" id="20" name="tblSalesData651621" displayName="tblSalesData651621" ref="A32:C34" totalsRowCount="1" headerRowDxfId="203" dataDxfId="202" totalsRowDxfId="201">
  <autoFilter ref="A32:C33"/>
  <tableColumns count="3">
    <tableColumn id="1" name="DATE" dataDxfId="200" totalsRowDxfId="199"/>
    <tableColumn id="2" name="Total Income" dataDxfId="198" totalsRowDxfId="197">
      <calculatedColumnFormula>tblSalesData67[[#Totals],[Total income]]</calculatedColumnFormula>
    </tableColumn>
    <tableColumn id="5" name="Gross Profit" totalsRowFunction="sum" dataDxfId="196" totalsRowDxfId="195">
      <calculatedColumnFormula>tblSalesData67[[#Totals],[Gross Profit]]</calculatedColumnFormula>
    </tableColumn>
  </tableColumns>
  <tableStyleInfo name="Cash Register Sales" showFirstColumn="0" showLastColumn="1" showRowStripes="1" showColumnStripes="0"/>
</table>
</file>

<file path=xl/tables/table57.xml><?xml version="1.0" encoding="utf-8"?>
<table xmlns="http://schemas.openxmlformats.org/spreadsheetml/2006/main" id="4" name="tblSalesData674205" displayName="tblSalesData674205" ref="B65:C70" totalsRowCount="1" headerRowDxfId="194" dataDxfId="193" totalsRowDxfId="192">
  <autoFilter ref="B65:C69"/>
  <tableColumns count="2">
    <tableColumn id="1" name="Type" dataDxfId="191" totalsRowDxfId="31"/>
    <tableColumn id="5" name="Total" totalsRowFunction="sum" dataDxfId="190" totalsRowDxfId="30"/>
  </tableColumns>
  <tableStyleInfo name="Cash Register Sales" showFirstColumn="0" showLastColumn="1" showRowStripes="1" showColumnStripes="0"/>
</table>
</file>

<file path=xl/tables/table58.xml><?xml version="1.0" encoding="utf-8"?>
<table xmlns="http://schemas.openxmlformats.org/spreadsheetml/2006/main" id="10" name="tblSalesData65162111" displayName="tblSalesData65162111" ref="A56:C58" totalsRowCount="1" headerRowDxfId="189" dataDxfId="188" totalsRowDxfId="187">
  <autoFilter ref="A56:C57"/>
  <tableColumns count="3">
    <tableColumn id="1" name="DATE" dataDxfId="186" totalsRowDxfId="185"/>
    <tableColumn id="2" name="Total Income" dataDxfId="184" totalsRowDxfId="183">
      <calculatedColumnFormula>tblSalesData6735[[#Totals],[Total income]]</calculatedColumnFormula>
    </tableColumn>
    <tableColumn id="5" name="Gross Profit" totalsRowFunction="sum" dataDxfId="182" totalsRowDxfId="181">
      <calculatedColumnFormula>tblSalesData6735[[#Totals],[Gross Profit]]</calculatedColumnFormula>
    </tableColumn>
  </tableColumns>
  <tableStyleInfo name="Cash Register Sales" showFirstColumn="0" showLastColumn="1" showRowStripes="1" showColumnStripes="0"/>
</table>
</file>

<file path=xl/tables/table59.xml><?xml version="1.0" encoding="utf-8"?>
<table xmlns="http://schemas.openxmlformats.org/spreadsheetml/2006/main" id="11" name="tblSalesData6742012" displayName="tblSalesData6742012" ref="B90:C95" totalsRowCount="1" headerRowDxfId="180" dataDxfId="179" totalsRowDxfId="178">
  <autoFilter ref="B90:C94"/>
  <tableColumns count="2">
    <tableColumn id="1" name="Type" dataDxfId="177" totalsRowDxfId="29"/>
    <tableColumn id="5" name="Total" totalsRowFunction="sum" dataDxfId="176" totalsRowDxfId="28"/>
  </tableColumns>
  <tableStyleInfo name="Cash Register Sales" showFirstColumn="0" showLastColumn="1" showRowStripes="1" showColumnStripes="0"/>
</table>
</file>

<file path=xl/tables/table6.xml><?xml version="1.0" encoding="utf-8"?>
<table xmlns="http://schemas.openxmlformats.org/spreadsheetml/2006/main" id="94" name="tblSalesData95" displayName="tblSalesData95" ref="C79:P90" totalsRowCount="1" headerRowDxfId="1088" dataDxfId="1087" totalsRowDxfId="1086">
  <autoFilter ref="C79:P89"/>
  <tableColumns count="14">
    <tableColumn id="1" name="DATE" dataDxfId="1085" totalsRowDxfId="1084"/>
    <tableColumn id="10" name="No." dataDxfId="1083" totalsRowDxfId="1082"/>
    <tableColumn id="3" name="Description" dataDxfId="1081" totalsRowDxfId="1080"/>
    <tableColumn id="8" name="Customer segment" dataDxfId="1079" totalsRowDxfId="1078"/>
    <tableColumn id="11" name="Provided service" dataDxfId="1077" totalsRowDxfId="1076"/>
    <tableColumn id="12" name="Used materials" dataDxfId="1075" totalsRowDxfId="1074"/>
    <tableColumn id="13" name="Costs for materials" totalsRowFunction="sum" dataDxfId="1073" totalsRowDxfId="1072"/>
    <tableColumn id="14" name="Selling price materials" totalsRowFunction="custom" dataDxfId="1071" totalsRowDxfId="1070">
      <totalsRowFormula>SUM(tblSalesData95[Selling price materials])</totalsRowFormula>
    </tableColumn>
    <tableColumn id="5" name="Hours of work" totalsRowFunction="sum" dataDxfId="1069" totalsRowDxfId="1068"/>
    <tableColumn id="9" name="Other expenses" totalsRowFunction="custom" dataDxfId="1067" totalsRowDxfId="1066">
      <totalsRowFormula>SUM(tblSalesData95[Other expenses])</totalsRowFormula>
    </tableColumn>
    <tableColumn id="4" name="Description of other expenses" dataDxfId="1065" totalsRowDxfId="1064"/>
    <tableColumn id="6" name="Labor income" totalsRowFunction="sum" dataDxfId="1063" totalsRowDxfId="1062"/>
    <tableColumn id="2" name="Total price" totalsRowFunction="sum" dataDxfId="1061" totalsRowDxfId="1060">
      <calculatedColumnFormula>tblSalesData95[[#This Row],[Labor income]]+tblSalesData95[[#This Row],[Selling price materials]]</calculatedColumnFormula>
    </tableColumn>
    <tableColumn id="7" name="Gross Profit" totalsRowFunction="sum" dataDxfId="1059" totalsRowDxfId="1058">
      <calculatedColumnFormula>tblSalesData95[[#This Row],[Total price]]-tblSalesData95[[#This Row],[Costs for materials]]</calculatedColumnFormula>
    </tableColumn>
  </tableColumns>
  <tableStyleInfo name="Cash Register Sales" showFirstColumn="0" showLastColumn="1" showRowStripes="1" showColumnStripes="0"/>
</table>
</file>

<file path=xl/tables/table60.xml><?xml version="1.0" encoding="utf-8"?>
<table xmlns="http://schemas.openxmlformats.org/spreadsheetml/2006/main" id="12" name="tblSalesData65162113" displayName="tblSalesData65162113" ref="A81:C83" totalsRowCount="1" headerRowDxfId="175" dataDxfId="174" totalsRowDxfId="173">
  <autoFilter ref="A81:C82"/>
  <tableColumns count="3">
    <tableColumn id="1" name="DATE" dataDxfId="172" totalsRowDxfId="171">
      <calculatedColumnFormula>'Daily sales'!C61</calculatedColumnFormula>
    </tableColumn>
    <tableColumn id="2" name="Total Income" dataDxfId="170" totalsRowDxfId="169">
      <calculatedColumnFormula>tblSalesData673536[[#Totals],[Total income]]</calculatedColumnFormula>
    </tableColumn>
    <tableColumn id="5" name="Gross Profit" totalsRowFunction="sum" dataDxfId="168" totalsRowDxfId="167">
      <calculatedColumnFormula>tblSalesData673536[[#Totals],[Gross Profit]]</calculatedColumnFormula>
    </tableColumn>
  </tableColumns>
  <tableStyleInfo name="Cash Register Sales" showFirstColumn="0" showLastColumn="1" showRowStripes="1" showColumnStripes="0"/>
</table>
</file>

<file path=xl/tables/table61.xml><?xml version="1.0" encoding="utf-8"?>
<table xmlns="http://schemas.openxmlformats.org/spreadsheetml/2006/main" id="13" name="tblSalesData67420514" displayName="tblSalesData67420514" ref="B114:C119" totalsRowCount="1" headerRowDxfId="166" dataDxfId="165" totalsRowDxfId="164">
  <autoFilter ref="B114:C118"/>
  <tableColumns count="2">
    <tableColumn id="1" name="Type" dataDxfId="163" totalsRowDxfId="27"/>
    <tableColumn id="5" name="Total" totalsRowFunction="sum" dataDxfId="162" totalsRowDxfId="26"/>
  </tableColumns>
  <tableStyleInfo name="Cash Register Sales" showFirstColumn="0" showLastColumn="1" showRowStripes="1" showColumnStripes="0"/>
</table>
</file>

<file path=xl/tables/table62.xml><?xml version="1.0" encoding="utf-8"?>
<table xmlns="http://schemas.openxmlformats.org/spreadsheetml/2006/main" id="14" name="tblSalesData6516211115" displayName="tblSalesData6516211115" ref="A105:C107" totalsRowCount="1" headerRowDxfId="161" dataDxfId="160" totalsRowDxfId="159">
  <autoFilter ref="A105:C106"/>
  <tableColumns count="3">
    <tableColumn id="1" name="DATE" dataDxfId="158" totalsRowDxfId="157">
      <calculatedColumnFormula>'Daily sales'!C67</calculatedColumnFormula>
    </tableColumn>
    <tableColumn id="2" name="Total Income" dataDxfId="156" totalsRowDxfId="155">
      <calculatedColumnFormula>tblSalesData6737[[#Totals],[Total income]]</calculatedColumnFormula>
    </tableColumn>
    <tableColumn id="5" name="Gross Profit" totalsRowFunction="sum" dataDxfId="154" totalsRowDxfId="153">
      <calculatedColumnFormula>tblSalesData6737[[#Totals],[Gross Profit]]</calculatedColumnFormula>
    </tableColumn>
  </tableColumns>
  <tableStyleInfo name="Cash Register Sales" showFirstColumn="0" showLastColumn="1" showRowStripes="1" showColumnStripes="0"/>
</table>
</file>

<file path=xl/tables/table63.xml><?xml version="1.0" encoding="utf-8"?>
<table xmlns="http://schemas.openxmlformats.org/spreadsheetml/2006/main" id="16" name="tblSalesData674201217" displayName="tblSalesData674201217" ref="B139:C144" totalsRowCount="1" headerRowDxfId="152" dataDxfId="151" totalsRowDxfId="150">
  <autoFilter ref="B139:C143"/>
  <tableColumns count="2">
    <tableColumn id="1" name="Type" dataDxfId="149" totalsRowDxfId="25"/>
    <tableColumn id="5" name="Total" totalsRowFunction="sum" dataDxfId="148" totalsRowDxfId="24"/>
  </tableColumns>
  <tableStyleInfo name="Cash Register Sales" showFirstColumn="0" showLastColumn="1" showRowStripes="1" showColumnStripes="0"/>
</table>
</file>

<file path=xl/tables/table64.xml><?xml version="1.0" encoding="utf-8"?>
<table xmlns="http://schemas.openxmlformats.org/spreadsheetml/2006/main" id="17" name="tblSalesData6516211318" displayName="tblSalesData6516211318" ref="A130:C132" totalsRowCount="1" headerRowDxfId="147" dataDxfId="146" totalsRowDxfId="145">
  <autoFilter ref="A130:C131"/>
  <tableColumns count="3">
    <tableColumn id="1" name="DATE" dataDxfId="144" totalsRowDxfId="143">
      <calculatedColumnFormula>'Daily sales'!C73</calculatedColumnFormula>
    </tableColumn>
    <tableColumn id="2" name="Total Income" dataDxfId="142" totalsRowDxfId="141">
      <calculatedColumnFormula>tblSalesData673538[[#Totals],[Total income]]</calculatedColumnFormula>
    </tableColumn>
    <tableColumn id="5" name="Gross Profit" totalsRowFunction="sum" dataDxfId="140" totalsRowDxfId="139">
      <calculatedColumnFormula>tblSalesData673538[[#Totals],[Gross Profit]]</calculatedColumnFormula>
    </tableColumn>
  </tableColumns>
  <tableStyleInfo name="Cash Register Sales" showFirstColumn="0" showLastColumn="1" showRowStripes="1" showColumnStripes="0"/>
</table>
</file>

<file path=xl/tables/table65.xml><?xml version="1.0" encoding="utf-8"?>
<table xmlns="http://schemas.openxmlformats.org/spreadsheetml/2006/main" id="18" name="tblSalesData67420519" displayName="tblSalesData67420519" ref="B163:C168" totalsRowCount="1" headerRowDxfId="138" dataDxfId="137" totalsRowDxfId="136">
  <autoFilter ref="B163:C167"/>
  <tableColumns count="2">
    <tableColumn id="1" name="Type" dataDxfId="135" totalsRowDxfId="15"/>
    <tableColumn id="5" name="Total" totalsRowFunction="sum" dataDxfId="134" totalsRowDxfId="14"/>
  </tableColumns>
  <tableStyleInfo name="Cash Register Sales" showFirstColumn="0" showLastColumn="1" showRowStripes="1" showColumnStripes="0"/>
</table>
</file>

<file path=xl/tables/table66.xml><?xml version="1.0" encoding="utf-8"?>
<table xmlns="http://schemas.openxmlformats.org/spreadsheetml/2006/main" id="21" name="tblSalesData6516211122" displayName="tblSalesData6516211122" ref="A154:C156" totalsRowCount="1" headerRowDxfId="133" dataDxfId="132" totalsRowDxfId="131">
  <autoFilter ref="A154:C155"/>
  <tableColumns count="3">
    <tableColumn id="1" name="DATE" dataDxfId="130" totalsRowDxfId="129">
      <calculatedColumnFormula>'Daily sales'!C80</calculatedColumnFormula>
    </tableColumn>
    <tableColumn id="2" name="Total Income" dataDxfId="128" totalsRowDxfId="127">
      <calculatedColumnFormula>tblSalesData67353639[[#Totals],[Total income]]</calculatedColumnFormula>
    </tableColumn>
    <tableColumn id="5" name="Gross Profit" totalsRowFunction="sum" dataDxfId="126" totalsRowDxfId="125">
      <calculatedColumnFormula>tblSalesData67353639[[#Totals],[Gross Profit]]</calculatedColumnFormula>
    </tableColumn>
  </tableColumns>
  <tableStyleInfo name="Cash Register Sales" showFirstColumn="0" showLastColumn="1" showRowStripes="1" showColumnStripes="0"/>
</table>
</file>

<file path=xl/tables/table67.xml><?xml version="1.0" encoding="utf-8"?>
<table xmlns="http://schemas.openxmlformats.org/spreadsheetml/2006/main" id="45" name="tblSalesData674201246" displayName="tblSalesData674201246" ref="B188:C193" totalsRowCount="1" headerRowDxfId="124" dataDxfId="123" totalsRowDxfId="122">
  <autoFilter ref="B188:C192"/>
  <tableColumns count="2">
    <tableColumn id="1" name="Type" dataDxfId="121" totalsRowDxfId="17"/>
    <tableColumn id="5" name="Total" totalsRowFunction="sum" dataDxfId="120" totalsRowDxfId="16"/>
  </tableColumns>
  <tableStyleInfo name="Cash Register Sales" showFirstColumn="0" showLastColumn="1" showRowStripes="1" showColumnStripes="0"/>
</table>
</file>

<file path=xl/tables/table68.xml><?xml version="1.0" encoding="utf-8"?>
<table xmlns="http://schemas.openxmlformats.org/spreadsheetml/2006/main" id="46" name="tblSalesData6516211347" displayName="tblSalesData6516211347" ref="A179:C181" totalsRowCount="1" headerRowDxfId="119" dataDxfId="118" totalsRowDxfId="117">
  <autoFilter ref="A179:C180"/>
  <tableColumns count="3">
    <tableColumn id="1" name="DATE" dataDxfId="116" totalsRowDxfId="115">
      <calculatedColumnFormula>'Daily sales'!C86</calculatedColumnFormula>
    </tableColumn>
    <tableColumn id="2" name="Total Income" dataDxfId="114" totalsRowDxfId="113">
      <calculatedColumnFormula>tblSalesData673740[[#Totals],[Total income]]</calculatedColumnFormula>
    </tableColumn>
    <tableColumn id="5" name="Gross Profit" totalsRowFunction="sum" dataDxfId="112" totalsRowDxfId="111">
      <calculatedColumnFormula>tblSalesData673740[[#Totals],[Gross Profit]]</calculatedColumnFormula>
    </tableColumn>
  </tableColumns>
  <tableStyleInfo name="Cash Register Sales" showFirstColumn="0" showLastColumn="1" showRowStripes="1" showColumnStripes="0"/>
</table>
</file>

<file path=xl/tables/table69.xml><?xml version="1.0" encoding="utf-8"?>
<table xmlns="http://schemas.openxmlformats.org/spreadsheetml/2006/main" id="59" name="tblSalesData67420560" displayName="tblSalesData67420560" ref="B212:C217" totalsRowCount="1" headerRowDxfId="110" dataDxfId="109" totalsRowDxfId="108">
  <autoFilter ref="B212:C216"/>
  <tableColumns count="2">
    <tableColumn id="1" name="Type" dataDxfId="107" totalsRowDxfId="19"/>
    <tableColumn id="5" name="Total" totalsRowFunction="sum" dataDxfId="106" totalsRowDxfId="18"/>
  </tableColumns>
  <tableStyleInfo name="Cash Register Sales" showFirstColumn="0" showLastColumn="1" showRowStripes="1" showColumnStripes="0"/>
</table>
</file>

<file path=xl/tables/table7.xml><?xml version="1.0" encoding="utf-8"?>
<table xmlns="http://schemas.openxmlformats.org/spreadsheetml/2006/main" id="95" name="tblSalesData9596" displayName="tblSalesData9596" ref="C93:P104" totalsRowCount="1" headerRowDxfId="1057" dataDxfId="1056" totalsRowDxfId="1055">
  <autoFilter ref="C93:P103"/>
  <tableColumns count="14">
    <tableColumn id="1" name="DATE" dataDxfId="1054" totalsRowDxfId="1053"/>
    <tableColumn id="10" name="No." dataDxfId="1052" totalsRowDxfId="1051"/>
    <tableColumn id="3" name="Description" dataDxfId="1050" totalsRowDxfId="1049"/>
    <tableColumn id="8" name="Customer segment" dataDxfId="1048" totalsRowDxfId="1047"/>
    <tableColumn id="11" name="Provided service" dataDxfId="1046" totalsRowDxfId="1045"/>
    <tableColumn id="12" name="Used materials" dataDxfId="1044" totalsRowDxfId="1043"/>
    <tableColumn id="13" name="Costs for materials" totalsRowFunction="sum" dataDxfId="1042" totalsRowDxfId="1041"/>
    <tableColumn id="14" name="Selling price materials" totalsRowFunction="custom" dataDxfId="1040" totalsRowDxfId="1039">
      <totalsRowFormula>SUM(tblSalesData9596[Selling price materials])</totalsRowFormula>
    </tableColumn>
    <tableColumn id="5" name="Hours of work" totalsRowFunction="sum" dataDxfId="1038" totalsRowDxfId="1037"/>
    <tableColumn id="9" name="Other expenses" totalsRowFunction="custom" dataDxfId="1036" totalsRowDxfId="1035">
      <totalsRowFormula>SUM(tblSalesData9596[Other expenses])</totalsRowFormula>
    </tableColumn>
    <tableColumn id="4" name="Description of other expenses" dataDxfId="1034" totalsRowDxfId="1033"/>
    <tableColumn id="6" name="Labor income" totalsRowFunction="sum" dataDxfId="1032" totalsRowDxfId="1031"/>
    <tableColumn id="2" name="Total price" totalsRowFunction="sum" dataDxfId="1030" totalsRowDxfId="1029">
      <calculatedColumnFormula>tblSalesData9596[[#This Row],[Labor income]]+tblSalesData9596[[#This Row],[Selling price materials]]</calculatedColumnFormula>
    </tableColumn>
    <tableColumn id="7" name="Gross Profit" totalsRowFunction="sum" dataDxfId="1028" totalsRowDxfId="1027">
      <calculatedColumnFormula>tblSalesData9596[[#This Row],[Total price]]-tblSalesData9596[[#This Row],[Costs for materials]]</calculatedColumnFormula>
    </tableColumn>
  </tableColumns>
  <tableStyleInfo name="Cash Register Sales" showFirstColumn="0" showLastColumn="1" showRowStripes="1" showColumnStripes="0"/>
</table>
</file>

<file path=xl/tables/table70.xml><?xml version="1.0" encoding="utf-8"?>
<table xmlns="http://schemas.openxmlformats.org/spreadsheetml/2006/main" id="60" name="tblSalesData6516211161" displayName="tblSalesData6516211161" ref="A203:C205" totalsRowCount="1" headerRowDxfId="105" dataDxfId="104" totalsRowDxfId="103">
  <autoFilter ref="A203:C204"/>
  <tableColumns count="3">
    <tableColumn id="1" name="DATE" dataDxfId="102" totalsRowDxfId="101">
      <calculatedColumnFormula>'Daily sales'!#REF!</calculatedColumnFormula>
    </tableColumn>
    <tableColumn id="2" name="Total Income" dataDxfId="100" totalsRowDxfId="99">
      <calculatedColumnFormula>tblSalesData67353841[[#Totals],[Total income]]</calculatedColumnFormula>
    </tableColumn>
    <tableColumn id="5" name="Gross Profit" totalsRowFunction="sum" dataDxfId="98" totalsRowDxfId="97">
      <calculatedColumnFormula>tblSalesData67353841[[#Totals],[Gross Profit]]</calculatedColumnFormula>
    </tableColumn>
  </tableColumns>
  <tableStyleInfo name="Cash Register Sales" showFirstColumn="0" showLastColumn="1" showRowStripes="1" showColumnStripes="0"/>
</table>
</file>

<file path=xl/tables/table71.xml><?xml version="1.0" encoding="utf-8"?>
<table xmlns="http://schemas.openxmlformats.org/spreadsheetml/2006/main" id="61" name="tblSalesData674201262" displayName="tblSalesData674201262" ref="B237:C242" totalsRowCount="1" headerRowDxfId="96" dataDxfId="95" totalsRowDxfId="94">
  <autoFilter ref="B237:C241"/>
  <tableColumns count="2">
    <tableColumn id="1" name="Type" dataDxfId="93" totalsRowDxfId="21"/>
    <tableColumn id="5" name="Total" totalsRowFunction="sum" dataDxfId="92" totalsRowDxfId="20"/>
  </tableColumns>
  <tableStyleInfo name="Cash Register Sales" showFirstColumn="0" showLastColumn="1" showRowStripes="1" showColumnStripes="0"/>
</table>
</file>

<file path=xl/tables/table72.xml><?xml version="1.0" encoding="utf-8"?>
<table xmlns="http://schemas.openxmlformats.org/spreadsheetml/2006/main" id="62" name="tblSalesData6516211363" displayName="tblSalesData6516211363" ref="A228:C230" totalsRowCount="1" headerRowDxfId="91" dataDxfId="90" totalsRowDxfId="89">
  <autoFilter ref="A228:C229"/>
  <tableColumns count="3">
    <tableColumn id="1" name="DATE" dataDxfId="88" totalsRowDxfId="87">
      <calculatedColumnFormula>'Daily sales'!C94</calculatedColumnFormula>
    </tableColumn>
    <tableColumn id="2" name="Total Income" dataDxfId="86" totalsRowDxfId="85">
      <calculatedColumnFormula>tblSalesData67353842[[#Totals],[Total income]]</calculatedColumnFormula>
    </tableColumn>
    <tableColumn id="5" name="Gross Profit" totalsRowFunction="sum" dataDxfId="84" totalsRowDxfId="83">
      <calculatedColumnFormula>tblSalesData67353842[[#Totals],[Gross Profit]]</calculatedColumnFormula>
    </tableColumn>
  </tableColumns>
  <tableStyleInfo name="Cash Register Sales" showFirstColumn="0" showLastColumn="1" showRowStripes="1" showColumnStripes="0"/>
</table>
</file>

<file path=xl/tables/table73.xml><?xml version="1.0" encoding="utf-8"?>
<table xmlns="http://schemas.openxmlformats.org/spreadsheetml/2006/main" id="63" name="tblSalesData67420564" displayName="tblSalesData67420564" ref="B261:C266" totalsRowCount="1" headerRowDxfId="82" dataDxfId="81" totalsRowDxfId="80">
  <autoFilter ref="B261:C265"/>
  <tableColumns count="2">
    <tableColumn id="1" name="Type" dataDxfId="79" totalsRowDxfId="78"/>
    <tableColumn id="5" name="Total" totalsRowFunction="sum" dataDxfId="77" totalsRowDxfId="76"/>
  </tableColumns>
  <tableStyleInfo name="Cash Register Sales" showFirstColumn="0" showLastColumn="1" showRowStripes="1" showColumnStripes="0"/>
</table>
</file>

<file path=xl/tables/table74.xml><?xml version="1.0" encoding="utf-8"?>
<table xmlns="http://schemas.openxmlformats.org/spreadsheetml/2006/main" id="64" name="tblSalesData6516211165" displayName="tblSalesData6516211165" ref="A252:C254" totalsRowCount="1" headerRowDxfId="75" dataDxfId="74" totalsRowDxfId="73">
  <autoFilter ref="A252:C253"/>
  <tableColumns count="3">
    <tableColumn id="1" name="DATE" dataDxfId="72" totalsRowDxfId="71">
      <calculatedColumnFormula>'Daily sales'!C100</calculatedColumnFormula>
    </tableColumn>
    <tableColumn id="2" name="Total Income" dataDxfId="70" totalsRowDxfId="69">
      <calculatedColumnFormula>tblSalesData6735363943[[#Totals],[Total income]]</calculatedColumnFormula>
    </tableColumn>
    <tableColumn id="5" name="Gross Profit" totalsRowFunction="sum" dataDxfId="68" totalsRowDxfId="67">
      <calculatedColumnFormula>tblSalesData6735363943[[#Totals],[Gross Profit]]</calculatedColumnFormula>
    </tableColumn>
  </tableColumns>
  <tableStyleInfo name="Cash Register Sales" showFirstColumn="0" showLastColumn="1" showRowStripes="1" showColumnStripes="0"/>
</table>
</file>

<file path=xl/tables/table75.xml><?xml version="1.0" encoding="utf-8"?>
<table xmlns="http://schemas.openxmlformats.org/spreadsheetml/2006/main" id="65" name="tblSalesData674201266" displayName="tblSalesData674201266" ref="B286:C291" totalsRowCount="1" headerRowDxfId="66" dataDxfId="65" totalsRowDxfId="64">
  <autoFilter ref="B286:C290"/>
  <tableColumns count="2">
    <tableColumn id="1" name="Type" dataDxfId="63" totalsRowDxfId="23"/>
    <tableColumn id="5" name="Total" totalsRowFunction="sum" dataDxfId="62" totalsRowDxfId="22"/>
  </tableColumns>
  <tableStyleInfo name="Cash Register Sales" showFirstColumn="0" showLastColumn="1" showRowStripes="1" showColumnStripes="0"/>
</table>
</file>

<file path=xl/tables/table76.xml><?xml version="1.0" encoding="utf-8"?>
<table xmlns="http://schemas.openxmlformats.org/spreadsheetml/2006/main" id="66" name="tblSalesData6516211367" displayName="tblSalesData6516211367" ref="A277:C279" totalsRowCount="1" headerRowDxfId="61" dataDxfId="60" totalsRowDxfId="59">
  <autoFilter ref="A277:C278"/>
  <tableColumns count="3">
    <tableColumn id="1" name="DATE" dataDxfId="58" totalsRowDxfId="57">
      <calculatedColumnFormula>'Daily sales'!#REF!</calculatedColumnFormula>
    </tableColumn>
    <tableColumn id="2" name="Total Income" dataDxfId="56" totalsRowDxfId="55">
      <calculatedColumnFormula>tblSalesData67374044[[#Totals],[Total income]]</calculatedColumnFormula>
    </tableColumn>
    <tableColumn id="5" name="Gross Profit" totalsRowFunction="sum" dataDxfId="54" totalsRowDxfId="53">
      <calculatedColumnFormula>tblSalesData67374044[[#Totals],[Gross Profit]]</calculatedColumnFormula>
    </tableColumn>
  </tableColumns>
  <tableStyleInfo name="Cash Register Sales" showFirstColumn="0" showLastColumn="1" showRowStripes="1" showColumnStripes="0"/>
</table>
</file>

<file path=xl/tables/table8.xml><?xml version="1.0" encoding="utf-8"?>
<table xmlns="http://schemas.openxmlformats.org/spreadsheetml/2006/main" id="96" name="tblSalesData959697" displayName="tblSalesData959697" ref="C107:P118" totalsRowCount="1" headerRowDxfId="1026" dataDxfId="1025" totalsRowDxfId="1024">
  <autoFilter ref="C107:P117"/>
  <tableColumns count="14">
    <tableColumn id="1" name="DATE" dataDxfId="1023" totalsRowDxfId="1022"/>
    <tableColumn id="10" name="No." dataDxfId="1021" totalsRowDxfId="1020"/>
    <tableColumn id="3" name="Description" dataDxfId="1019" totalsRowDxfId="1018"/>
    <tableColumn id="8" name="Customer segment" dataDxfId="1017" totalsRowDxfId="1016"/>
    <tableColumn id="11" name="Provided service" dataDxfId="1015" totalsRowDxfId="1014"/>
    <tableColumn id="12" name="Used materials" dataDxfId="1013" totalsRowDxfId="1012"/>
    <tableColumn id="13" name="Costs for materials" totalsRowFunction="sum" dataDxfId="1011" totalsRowDxfId="1010"/>
    <tableColumn id="14" name="Selling price materials" totalsRowFunction="custom" dataDxfId="1009" totalsRowDxfId="1008">
      <totalsRowFormula>SUM(tblSalesData959697[Selling price materials])</totalsRowFormula>
    </tableColumn>
    <tableColumn id="5" name="Hours of work" totalsRowFunction="sum" dataDxfId="1007" totalsRowDxfId="1006"/>
    <tableColumn id="9" name="Other expenses" totalsRowFunction="custom" dataDxfId="1005" totalsRowDxfId="1004">
      <totalsRowFormula>SUM(tblSalesData959697[Other expenses])</totalsRowFormula>
    </tableColumn>
    <tableColumn id="4" name="Description of other expenses" dataDxfId="1003" totalsRowDxfId="1002"/>
    <tableColumn id="6" name="Labor income" totalsRowFunction="sum" dataDxfId="1001" totalsRowDxfId="1000"/>
    <tableColumn id="2" name="Total price" totalsRowFunction="sum" dataDxfId="999" totalsRowDxfId="998">
      <calculatedColumnFormula>tblSalesData959697[[#This Row],[Labor income]]+tblSalesData959697[[#This Row],[Selling price materials]]</calculatedColumnFormula>
    </tableColumn>
    <tableColumn id="7" name="Gross Profit" totalsRowFunction="sum" dataDxfId="997" totalsRowDxfId="996">
      <calculatedColumnFormula>tblSalesData959697[[#This Row],[Total price]]-tblSalesData959697[[#This Row],[Costs for materials]]</calculatedColumnFormula>
    </tableColumn>
  </tableColumns>
  <tableStyleInfo name="Cash Register Sales" showFirstColumn="0" showLastColumn="1" showRowStripes="1" showColumnStripes="0"/>
</table>
</file>

<file path=xl/tables/table9.xml><?xml version="1.0" encoding="utf-8"?>
<table xmlns="http://schemas.openxmlformats.org/spreadsheetml/2006/main" id="97" name="tblSalesData959698" displayName="tblSalesData959698" ref="C121:P132" totalsRowCount="1" headerRowDxfId="995" dataDxfId="994" totalsRowDxfId="993">
  <autoFilter ref="C121:P131"/>
  <tableColumns count="14">
    <tableColumn id="1" name="DATE" dataDxfId="992" totalsRowDxfId="991"/>
    <tableColumn id="10" name="No." dataDxfId="990" totalsRowDxfId="989"/>
    <tableColumn id="3" name="Description" dataDxfId="988" totalsRowDxfId="987"/>
    <tableColumn id="8" name="Customer segment" dataDxfId="986" totalsRowDxfId="985"/>
    <tableColumn id="11" name="Provided service" dataDxfId="984" totalsRowDxfId="983"/>
    <tableColumn id="12" name="Used materials" dataDxfId="982" totalsRowDxfId="981"/>
    <tableColumn id="13" name="Costs for materials" totalsRowFunction="sum" dataDxfId="980" totalsRowDxfId="979"/>
    <tableColumn id="14" name="Selling price materials" totalsRowFunction="custom" dataDxfId="978" totalsRowDxfId="977">
      <totalsRowFormula>SUM(tblSalesData959698[Selling price materials])</totalsRowFormula>
    </tableColumn>
    <tableColumn id="5" name="Hours of work" totalsRowFunction="sum" dataDxfId="976" totalsRowDxfId="975"/>
    <tableColumn id="9" name="Other expenses" totalsRowFunction="custom" dataDxfId="974" totalsRowDxfId="973">
      <totalsRowFormula>SUM(tblSalesData959698[Other expenses])</totalsRowFormula>
    </tableColumn>
    <tableColumn id="4" name="Description of other expenses" dataDxfId="972" totalsRowDxfId="971"/>
    <tableColumn id="6" name="Labor income" totalsRowFunction="sum" dataDxfId="970" totalsRowDxfId="969"/>
    <tableColumn id="2" name="Total price" totalsRowFunction="sum" dataDxfId="968" totalsRowDxfId="967">
      <calculatedColumnFormula>tblSalesData959698[[#This Row],[Labor income]]+tblSalesData959698[[#This Row],[Selling price materials]]</calculatedColumnFormula>
    </tableColumn>
    <tableColumn id="7" name="Gross Profit" totalsRowFunction="sum" dataDxfId="966" totalsRowDxfId="965">
      <calculatedColumnFormula>tblSalesData959698[[#This Row],[Total price]]-tblSalesData959698[[#This Row],[Costs for materials]]</calculatedColumnFormula>
    </tableColumn>
  </tableColumns>
  <tableStyleInfo name="Cash Register Sales" showFirstColumn="0" showLastColumn="1" showRowStripes="1" showColumnStripes="0"/>
</table>
</file>

<file path=xl/theme/theme1.xml><?xml version="1.0" encoding="utf-8"?>
<a:theme xmlns:a="http://schemas.openxmlformats.org/drawingml/2006/main" name="Office Theme">
  <a:themeElements>
    <a:clrScheme name="Daily Cash Register Sales">
      <a:dk1>
        <a:srgbClr val="000000"/>
      </a:dk1>
      <a:lt1>
        <a:srgbClr val="FFFFFF"/>
      </a:lt1>
      <a:dk2>
        <a:srgbClr val="4D4D4F"/>
      </a:dk2>
      <a:lt2>
        <a:srgbClr val="F7F6F0"/>
      </a:lt2>
      <a:accent1>
        <a:srgbClr val="E0A336"/>
      </a:accent1>
      <a:accent2>
        <a:srgbClr val="CC6600"/>
      </a:accent2>
      <a:accent3>
        <a:srgbClr val="B53820"/>
      </a:accent3>
      <a:accent4>
        <a:srgbClr val="4BA6C6"/>
      </a:accent4>
      <a:accent5>
        <a:srgbClr val="2EBC67"/>
      </a:accent5>
      <a:accent6>
        <a:srgbClr val="6D2F91"/>
      </a:accent6>
      <a:hlink>
        <a:srgbClr val="4BA6C6"/>
      </a:hlink>
      <a:folHlink>
        <a:srgbClr val="6D2F91"/>
      </a:folHlink>
    </a:clrScheme>
    <a:fontScheme name="Daily Cash Register Sales">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26.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5.xml"/><Relationship Id="rId13" Type="http://schemas.openxmlformats.org/officeDocument/2006/relationships/table" Target="../tables/table50.xml"/><Relationship Id="rId3" Type="http://schemas.openxmlformats.org/officeDocument/2006/relationships/table" Target="../tables/table40.xml"/><Relationship Id="rId7" Type="http://schemas.openxmlformats.org/officeDocument/2006/relationships/table" Target="../tables/table44.xml"/><Relationship Id="rId12" Type="http://schemas.openxmlformats.org/officeDocument/2006/relationships/table" Target="../tables/table49.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table" Target="../tables/table43.xml"/><Relationship Id="rId11" Type="http://schemas.openxmlformats.org/officeDocument/2006/relationships/table" Target="../tables/table48.xml"/><Relationship Id="rId5" Type="http://schemas.openxmlformats.org/officeDocument/2006/relationships/table" Target="../tables/table42.xml"/><Relationship Id="rId10" Type="http://schemas.openxmlformats.org/officeDocument/2006/relationships/table" Target="../tables/table47.xml"/><Relationship Id="rId4" Type="http://schemas.openxmlformats.org/officeDocument/2006/relationships/table" Target="../tables/table41.xml"/><Relationship Id="rId9" Type="http://schemas.openxmlformats.org/officeDocument/2006/relationships/table" Target="../tables/table46.xml"/><Relationship Id="rId14"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table" Target="../tables/table58.xml"/><Relationship Id="rId13" Type="http://schemas.openxmlformats.org/officeDocument/2006/relationships/table" Target="../tables/table63.xml"/><Relationship Id="rId18" Type="http://schemas.openxmlformats.org/officeDocument/2006/relationships/table" Target="../tables/table68.xml"/><Relationship Id="rId26" Type="http://schemas.openxmlformats.org/officeDocument/2006/relationships/table" Target="../tables/table76.xml"/><Relationship Id="rId3" Type="http://schemas.openxmlformats.org/officeDocument/2006/relationships/table" Target="../tables/table53.xml"/><Relationship Id="rId21" Type="http://schemas.openxmlformats.org/officeDocument/2006/relationships/table" Target="../tables/table71.xml"/><Relationship Id="rId7" Type="http://schemas.openxmlformats.org/officeDocument/2006/relationships/table" Target="../tables/table57.xml"/><Relationship Id="rId12" Type="http://schemas.openxmlformats.org/officeDocument/2006/relationships/table" Target="../tables/table62.xml"/><Relationship Id="rId17" Type="http://schemas.openxmlformats.org/officeDocument/2006/relationships/table" Target="../tables/table67.xml"/><Relationship Id="rId25" Type="http://schemas.openxmlformats.org/officeDocument/2006/relationships/table" Target="../tables/table75.xml"/><Relationship Id="rId2" Type="http://schemas.openxmlformats.org/officeDocument/2006/relationships/drawing" Target="../drawings/drawing8.xml"/><Relationship Id="rId16" Type="http://schemas.openxmlformats.org/officeDocument/2006/relationships/table" Target="../tables/table66.xml"/><Relationship Id="rId20" Type="http://schemas.openxmlformats.org/officeDocument/2006/relationships/table" Target="../tables/table70.xml"/><Relationship Id="rId1" Type="http://schemas.openxmlformats.org/officeDocument/2006/relationships/printerSettings" Target="../printerSettings/printerSettings7.bin"/><Relationship Id="rId6" Type="http://schemas.openxmlformats.org/officeDocument/2006/relationships/table" Target="../tables/table56.xml"/><Relationship Id="rId11" Type="http://schemas.openxmlformats.org/officeDocument/2006/relationships/table" Target="../tables/table61.xml"/><Relationship Id="rId24" Type="http://schemas.openxmlformats.org/officeDocument/2006/relationships/table" Target="../tables/table74.xml"/><Relationship Id="rId5" Type="http://schemas.openxmlformats.org/officeDocument/2006/relationships/table" Target="../tables/table55.xml"/><Relationship Id="rId15" Type="http://schemas.openxmlformats.org/officeDocument/2006/relationships/table" Target="../tables/table65.xml"/><Relationship Id="rId23" Type="http://schemas.openxmlformats.org/officeDocument/2006/relationships/table" Target="../tables/table73.xml"/><Relationship Id="rId10" Type="http://schemas.openxmlformats.org/officeDocument/2006/relationships/table" Target="../tables/table60.xml"/><Relationship Id="rId19" Type="http://schemas.openxmlformats.org/officeDocument/2006/relationships/table" Target="../tables/table69.xml"/><Relationship Id="rId4" Type="http://schemas.openxmlformats.org/officeDocument/2006/relationships/table" Target="../tables/table54.xml"/><Relationship Id="rId9" Type="http://schemas.openxmlformats.org/officeDocument/2006/relationships/table" Target="../tables/table59.xml"/><Relationship Id="rId14" Type="http://schemas.openxmlformats.org/officeDocument/2006/relationships/table" Target="../tables/table64.xml"/><Relationship Id="rId22" Type="http://schemas.openxmlformats.org/officeDocument/2006/relationships/table" Target="../tables/table7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0" sqref="E10"/>
    </sheetView>
  </sheetViews>
  <sheetFormatPr defaultRowHeight="15" x14ac:dyDescent="0.3"/>
  <sheetData>
    <row r="1" spans="1:7" x14ac:dyDescent="0.3">
      <c r="A1" t="s">
        <v>3</v>
      </c>
      <c r="D1" t="s">
        <v>5</v>
      </c>
      <c r="G1" t="s">
        <v>38</v>
      </c>
    </row>
    <row r="2" spans="1:7" x14ac:dyDescent="0.3">
      <c r="A2" t="s">
        <v>28</v>
      </c>
      <c r="D2" t="s">
        <v>34</v>
      </c>
      <c r="G2" t="s">
        <v>39</v>
      </c>
    </row>
    <row r="3" spans="1:7" x14ac:dyDescent="0.3">
      <c r="A3" t="s">
        <v>30</v>
      </c>
      <c r="D3" t="s">
        <v>35</v>
      </c>
      <c r="G3" t="s">
        <v>23</v>
      </c>
    </row>
    <row r="4" spans="1:7" x14ac:dyDescent="0.3">
      <c r="A4" t="s">
        <v>31</v>
      </c>
      <c r="D4" t="s">
        <v>36</v>
      </c>
      <c r="G4" t="s">
        <v>22</v>
      </c>
    </row>
    <row r="5" spans="1:7" x14ac:dyDescent="0.3">
      <c r="A5" t="s">
        <v>32</v>
      </c>
      <c r="D5" t="s">
        <v>53</v>
      </c>
    </row>
    <row r="6" spans="1:7" x14ac:dyDescent="0.3">
      <c r="A6" t="s">
        <v>33</v>
      </c>
      <c r="D6" t="s">
        <v>54</v>
      </c>
    </row>
    <row r="7" spans="1:7" x14ac:dyDescent="0.3">
      <c r="D7" t="s">
        <v>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zoomScale="80" zoomScaleNormal="80" workbookViewId="0">
      <selection activeCell="P10" sqref="P10"/>
    </sheetView>
  </sheetViews>
  <sheetFormatPr defaultRowHeight="15" x14ac:dyDescent="0.3"/>
  <sheetData>
    <row r="3" spans="1:1" ht="61.5" x14ac:dyDescent="0.3">
      <c r="A3" s="1" t="s">
        <v>52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
  <sheetViews>
    <sheetView topLeftCell="A29" zoomScale="85" zoomScaleNormal="85" workbookViewId="0"/>
  </sheetViews>
  <sheetFormatPr defaultRowHeight="15" x14ac:dyDescent="0.3"/>
  <cols>
    <col min="1" max="1" width="9.140625" customWidth="1"/>
  </cols>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pageSetUpPr autoPageBreaks="0" fitToPage="1"/>
  </sheetPr>
  <dimension ref="A1:Q174"/>
  <sheetViews>
    <sheetView showGridLines="0" topLeftCell="I1" zoomScale="70" zoomScaleNormal="70" workbookViewId="0">
      <selection activeCell="M10" sqref="M10"/>
    </sheetView>
  </sheetViews>
  <sheetFormatPr defaultColWidth="9.140625" defaultRowHeight="21" customHeight="1" x14ac:dyDescent="0.3"/>
  <cols>
    <col min="1" max="1" width="10.5703125" style="18" customWidth="1"/>
    <col min="2" max="2" width="18" style="18" customWidth="1"/>
    <col min="3" max="3" width="16.140625" style="16" customWidth="1"/>
    <col min="4" max="4" width="16.140625" style="17" customWidth="1"/>
    <col min="5" max="5" width="33.7109375" style="18" customWidth="1"/>
    <col min="6" max="6" width="23.140625" style="19" customWidth="1"/>
    <col min="7" max="7" width="25.85546875" style="19" customWidth="1"/>
    <col min="8" max="8" width="53.42578125" style="19" customWidth="1"/>
    <col min="9" max="10" width="25.85546875" style="20" customWidth="1"/>
    <col min="11" max="11" width="18.42578125" style="21" customWidth="1"/>
    <col min="12" max="12" width="19.7109375" style="11" customWidth="1"/>
    <col min="13" max="13" width="51.5703125" style="22" customWidth="1"/>
    <col min="14" max="14" width="33.42578125" style="11" customWidth="1"/>
    <col min="15" max="15" width="29.5703125" style="167" customWidth="1"/>
    <col min="16" max="16" width="29.5703125" style="168" customWidth="1"/>
    <col min="17" max="16384" width="9.140625" style="18"/>
  </cols>
  <sheetData>
    <row r="1" spans="2:17" ht="15" x14ac:dyDescent="0.3">
      <c r="B1" s="131"/>
      <c r="C1" s="132"/>
      <c r="D1" s="133"/>
      <c r="E1" s="131"/>
      <c r="F1" s="134"/>
      <c r="G1" s="134"/>
      <c r="H1" s="134"/>
      <c r="I1" s="135"/>
      <c r="J1" s="135"/>
      <c r="K1" s="136"/>
      <c r="L1" s="137"/>
      <c r="M1" s="138"/>
      <c r="N1" s="137"/>
      <c r="O1" s="161"/>
      <c r="P1" s="162"/>
      <c r="Q1" s="131"/>
    </row>
    <row r="2" spans="2:17" ht="36" x14ac:dyDescent="0.3">
      <c r="B2" s="131"/>
      <c r="C2" s="139" t="s">
        <v>4</v>
      </c>
      <c r="D2" s="140"/>
      <c r="E2" s="131"/>
      <c r="F2" s="134"/>
      <c r="G2" s="141" t="s">
        <v>116</v>
      </c>
      <c r="H2" s="134"/>
      <c r="I2" s="135"/>
      <c r="J2" s="135"/>
      <c r="K2" s="136"/>
      <c r="L2" s="137"/>
      <c r="M2" s="138"/>
      <c r="N2" s="137"/>
      <c r="O2" s="161"/>
      <c r="P2" s="162"/>
      <c r="Q2" s="131"/>
    </row>
    <row r="3" spans="2:17" ht="17.25" customHeight="1" x14ac:dyDescent="0.3">
      <c r="B3" s="131"/>
      <c r="C3" s="139"/>
      <c r="D3" s="140"/>
      <c r="E3" s="131"/>
      <c r="F3" s="134"/>
      <c r="G3" s="134"/>
      <c r="H3" s="134"/>
      <c r="I3" s="135"/>
      <c r="J3" s="135"/>
      <c r="K3" s="136"/>
      <c r="L3" s="137"/>
      <c r="M3" s="138"/>
      <c r="N3" s="137"/>
      <c r="O3" s="161"/>
      <c r="P3" s="162"/>
      <c r="Q3" s="131"/>
    </row>
    <row r="4" spans="2:17" ht="15.75" customHeight="1" x14ac:dyDescent="0.3">
      <c r="B4" s="131"/>
      <c r="C4" s="132"/>
      <c r="D4" s="133"/>
      <c r="E4" s="131"/>
      <c r="F4" s="134"/>
      <c r="G4" s="134"/>
      <c r="H4" s="134"/>
      <c r="I4" s="135"/>
      <c r="J4" s="135"/>
      <c r="K4" s="136"/>
      <c r="L4" s="137"/>
      <c r="M4" s="138"/>
      <c r="N4" s="137"/>
      <c r="O4" s="161"/>
      <c r="P4" s="162"/>
      <c r="Q4" s="131"/>
    </row>
    <row r="5" spans="2:17" ht="17.25" customHeight="1" x14ac:dyDescent="0.3">
      <c r="B5" s="131"/>
      <c r="C5" s="132"/>
      <c r="D5" s="133"/>
      <c r="E5" s="131"/>
      <c r="F5" s="134"/>
      <c r="G5" s="134"/>
      <c r="H5" s="134"/>
      <c r="I5" s="135"/>
      <c r="J5" s="135"/>
      <c r="K5" s="136"/>
      <c r="L5" s="137"/>
      <c r="M5" s="138"/>
      <c r="N5" s="137"/>
      <c r="O5" s="161"/>
      <c r="P5" s="162"/>
      <c r="Q5" s="131"/>
    </row>
    <row r="6" spans="2:17" ht="15" x14ac:dyDescent="0.3">
      <c r="B6" s="131"/>
      <c r="C6" s="132"/>
      <c r="D6" s="133"/>
      <c r="E6" s="131"/>
      <c r="F6" s="134"/>
      <c r="G6" s="134"/>
      <c r="H6" s="134"/>
      <c r="I6" s="135"/>
      <c r="J6" s="135"/>
      <c r="K6" s="136"/>
      <c r="L6" s="137"/>
      <c r="M6" s="138"/>
      <c r="N6" s="137"/>
      <c r="O6" s="161"/>
      <c r="P6" s="162"/>
      <c r="Q6" s="131"/>
    </row>
    <row r="7" spans="2:17" ht="15" x14ac:dyDescent="0.3">
      <c r="B7" s="131"/>
      <c r="C7" s="142" t="s">
        <v>56</v>
      </c>
      <c r="D7" s="133"/>
      <c r="E7" s="131"/>
      <c r="F7" s="143"/>
      <c r="G7" s="143"/>
      <c r="H7" s="143"/>
      <c r="I7" s="135"/>
      <c r="J7" s="135"/>
      <c r="K7" s="136"/>
      <c r="L7" s="137"/>
      <c r="M7" s="138"/>
      <c r="N7" s="137"/>
      <c r="O7" s="161"/>
      <c r="P7" s="162"/>
      <c r="Q7" s="131"/>
    </row>
    <row r="8" spans="2:17" ht="21" customHeight="1" x14ac:dyDescent="0.3">
      <c r="B8" s="144" t="s">
        <v>81</v>
      </c>
      <c r="C8" s="145" t="s">
        <v>0</v>
      </c>
      <c r="D8" s="146" t="s">
        <v>46</v>
      </c>
      <c r="E8" s="147" t="s">
        <v>24</v>
      </c>
      <c r="F8" s="148" t="s">
        <v>3</v>
      </c>
      <c r="G8" s="148" t="s">
        <v>5</v>
      </c>
      <c r="H8" s="148" t="s">
        <v>6</v>
      </c>
      <c r="I8" s="149" t="s">
        <v>41</v>
      </c>
      <c r="J8" s="149" t="s">
        <v>42</v>
      </c>
      <c r="K8" s="150" t="s">
        <v>7</v>
      </c>
      <c r="L8" s="151" t="s">
        <v>8</v>
      </c>
      <c r="M8" s="152" t="s">
        <v>43</v>
      </c>
      <c r="N8" s="151" t="s">
        <v>47</v>
      </c>
      <c r="O8" s="163" t="s">
        <v>29</v>
      </c>
      <c r="P8" s="163" t="s">
        <v>105</v>
      </c>
      <c r="Q8" s="131"/>
    </row>
    <row r="9" spans="2:17" ht="21" customHeight="1" x14ac:dyDescent="0.3">
      <c r="B9" s="131"/>
      <c r="C9" s="153">
        <v>43663</v>
      </c>
      <c r="D9" s="154">
        <v>1</v>
      </c>
      <c r="E9" s="155" t="s">
        <v>111</v>
      </c>
      <c r="F9" s="156" t="s">
        <v>32</v>
      </c>
      <c r="G9" s="156" t="s">
        <v>35</v>
      </c>
      <c r="H9" s="156"/>
      <c r="I9" s="157">
        <v>0</v>
      </c>
      <c r="J9" s="157">
        <v>0</v>
      </c>
      <c r="K9" s="150">
        <v>1</v>
      </c>
      <c r="L9" s="151">
        <v>70</v>
      </c>
      <c r="M9" s="152" t="s">
        <v>113</v>
      </c>
      <c r="N9" s="151">
        <v>300</v>
      </c>
      <c r="O9" s="163">
        <f>(tblSalesData[[#This Row],[Labor income]]+tblSalesData[[#This Row],[Other expenses]]+tblSalesData[[#This Row],[Selling price materials]])</f>
        <v>370</v>
      </c>
      <c r="P9" s="163">
        <f>tblSalesData[[#This Row],[Total price]]-tblSalesData[[#This Row],[Costs for materials]]</f>
        <v>370</v>
      </c>
      <c r="Q9" s="131"/>
    </row>
    <row r="10" spans="2:17" ht="21" customHeight="1" x14ac:dyDescent="0.3">
      <c r="B10" s="131"/>
      <c r="C10" s="153">
        <v>43671</v>
      </c>
      <c r="D10" s="154">
        <v>2</v>
      </c>
      <c r="E10" s="155" t="s">
        <v>131</v>
      </c>
      <c r="F10" s="156" t="s">
        <v>28</v>
      </c>
      <c r="G10" s="156" t="s">
        <v>35</v>
      </c>
      <c r="H10" s="156" t="s">
        <v>112</v>
      </c>
      <c r="I10" s="157">
        <v>150</v>
      </c>
      <c r="J10" s="157">
        <v>150</v>
      </c>
      <c r="K10" s="150">
        <v>6</v>
      </c>
      <c r="L10" s="151">
        <v>0</v>
      </c>
      <c r="M10" s="152"/>
      <c r="N10" s="151">
        <v>1000</v>
      </c>
      <c r="O10" s="163">
        <f>SUM(tblSalesData[[#This Row],[Labor income]]+tblSalesData[[#This Row],[Other expenses]]+tblSalesData[[#This Row],[Selling price materials]])</f>
        <v>1150</v>
      </c>
      <c r="P10" s="163">
        <f>tblSalesData[[#This Row],[Total price]]-tblSalesData[[#This Row],[Costs for materials]]</f>
        <v>1000</v>
      </c>
      <c r="Q10" s="131"/>
    </row>
    <row r="11" spans="2:17" ht="21" customHeight="1" x14ac:dyDescent="0.3">
      <c r="B11" s="131"/>
      <c r="C11" s="153"/>
      <c r="D11" s="154"/>
      <c r="E11" s="155"/>
      <c r="F11" s="156"/>
      <c r="G11" s="156"/>
      <c r="H11" s="156"/>
      <c r="I11" s="157">
        <v>0</v>
      </c>
      <c r="J11" s="157">
        <v>0</v>
      </c>
      <c r="K11" s="150"/>
      <c r="L11" s="151">
        <v>0</v>
      </c>
      <c r="M11" s="152"/>
      <c r="N11" s="151"/>
      <c r="O11" s="163">
        <f>(tblSalesData[[#This Row],[Labor income]]+tblSalesData[[#This Row],[Other expenses]]+tblSalesData[[#This Row],[Selling price materials]])</f>
        <v>0</v>
      </c>
      <c r="P11" s="163">
        <f>tblSalesData[[#This Row],[Total price]]-tblSalesData[[#This Row],[Costs for materials]]</f>
        <v>0</v>
      </c>
      <c r="Q11" s="131"/>
    </row>
    <row r="12" spans="2:17" ht="21" customHeight="1" x14ac:dyDescent="0.3">
      <c r="B12" s="131"/>
      <c r="C12" s="153"/>
      <c r="D12" s="154"/>
      <c r="E12" s="155"/>
      <c r="F12" s="156"/>
      <c r="G12" s="156"/>
      <c r="H12" s="156"/>
      <c r="I12" s="157">
        <v>0</v>
      </c>
      <c r="J12" s="157">
        <v>0</v>
      </c>
      <c r="K12" s="150"/>
      <c r="L12" s="151">
        <v>0</v>
      </c>
      <c r="M12" s="152"/>
      <c r="N12" s="151">
        <v>0</v>
      </c>
      <c r="O12" s="163">
        <f>SUM(tblSalesData[[#This Row],[Labor income]]+tblSalesData[[#This Row],[Other expenses]]+tblSalesData[[#This Row],[Selling price materials]])</f>
        <v>0</v>
      </c>
      <c r="P12" s="163">
        <f>tblSalesData[[#This Row],[Total price]]-tblSalesData[[#This Row],[Costs for materials]]</f>
        <v>0</v>
      </c>
      <c r="Q12" s="131"/>
    </row>
    <row r="13" spans="2:17" ht="21" customHeight="1" x14ac:dyDescent="0.3">
      <c r="B13" s="131"/>
      <c r="C13" s="153"/>
      <c r="D13" s="154"/>
      <c r="E13" s="155"/>
      <c r="F13" s="156"/>
      <c r="G13" s="156"/>
      <c r="H13" s="156"/>
      <c r="I13" s="157">
        <v>0</v>
      </c>
      <c r="J13" s="157">
        <v>0</v>
      </c>
      <c r="K13" s="150"/>
      <c r="L13" s="151">
        <v>0</v>
      </c>
      <c r="M13" s="152"/>
      <c r="N13" s="151">
        <v>0</v>
      </c>
      <c r="O13" s="163">
        <f>(tblSalesData[[#This Row],[Labor income]]+tblSalesData[[#This Row],[Other expenses]]+tblSalesData[[#This Row],[Selling price materials]])</f>
        <v>0</v>
      </c>
      <c r="P13" s="163">
        <f>tblSalesData[[#This Row],[Total price]]-tblSalesData[[#This Row],[Costs for materials]]</f>
        <v>0</v>
      </c>
      <c r="Q13" s="131"/>
    </row>
    <row r="14" spans="2:17" ht="21" customHeight="1" x14ac:dyDescent="0.3">
      <c r="B14" s="131"/>
      <c r="C14" s="153"/>
      <c r="D14" s="154"/>
      <c r="E14" s="155"/>
      <c r="F14" s="156"/>
      <c r="G14" s="156"/>
      <c r="H14" s="156"/>
      <c r="I14" s="157">
        <v>0</v>
      </c>
      <c r="J14" s="157">
        <v>0</v>
      </c>
      <c r="K14" s="150"/>
      <c r="L14" s="151">
        <v>0</v>
      </c>
      <c r="M14" s="152"/>
      <c r="N14" s="151">
        <v>0</v>
      </c>
      <c r="O14" s="163">
        <f>SUM(tblSalesData[[#This Row],[Labor income]]+tblSalesData[[#This Row],[Other expenses]]+tblSalesData[[#This Row],[Selling price materials]])</f>
        <v>0</v>
      </c>
      <c r="P14" s="163">
        <f>tblSalesData[[#This Row],[Total price]]-tblSalesData[[#This Row],[Costs for materials]]</f>
        <v>0</v>
      </c>
      <c r="Q14" s="131"/>
    </row>
    <row r="15" spans="2:17" ht="21" customHeight="1" x14ac:dyDescent="0.3">
      <c r="B15" s="131"/>
      <c r="C15" s="153"/>
      <c r="D15" s="154"/>
      <c r="E15" s="155"/>
      <c r="F15" s="156"/>
      <c r="G15" s="156"/>
      <c r="H15" s="156"/>
      <c r="I15" s="157">
        <v>0</v>
      </c>
      <c r="J15" s="157">
        <v>0</v>
      </c>
      <c r="K15" s="150"/>
      <c r="L15" s="151">
        <v>0</v>
      </c>
      <c r="M15" s="158"/>
      <c r="N15" s="151">
        <v>0</v>
      </c>
      <c r="O15" s="163">
        <f>tblSalesData[[#This Row],[Labor income]]+tblSalesData[[#This Row],[Selling price materials]]</f>
        <v>0</v>
      </c>
      <c r="P15" s="163">
        <f>tblSalesData[[#This Row],[Total price]]-tblSalesData[[#This Row],[Costs for materials]]</f>
        <v>0</v>
      </c>
      <c r="Q15" s="131"/>
    </row>
    <row r="16" spans="2:17" ht="21" customHeight="1" x14ac:dyDescent="0.3">
      <c r="B16" s="131"/>
      <c r="C16" s="153"/>
      <c r="D16" s="154"/>
      <c r="E16" s="155"/>
      <c r="F16" s="156"/>
      <c r="G16" s="156"/>
      <c r="H16" s="156"/>
      <c r="I16" s="157">
        <v>0</v>
      </c>
      <c r="J16" s="157">
        <v>0</v>
      </c>
      <c r="K16" s="150"/>
      <c r="L16" s="151">
        <v>0</v>
      </c>
      <c r="M16" s="158"/>
      <c r="N16" s="151">
        <v>0</v>
      </c>
      <c r="O16" s="163">
        <f>tblSalesData[[#This Row],[Labor income]]+tblSalesData[[#This Row],[Selling price materials]]</f>
        <v>0</v>
      </c>
      <c r="P16" s="163">
        <f>tblSalesData[[#This Row],[Total price]]-tblSalesData[[#This Row],[Costs for materials]]</f>
        <v>0</v>
      </c>
      <c r="Q16" s="131"/>
    </row>
    <row r="17" spans="1:17" ht="21" customHeight="1" x14ac:dyDescent="0.3">
      <c r="B17" s="131"/>
      <c r="C17" s="153"/>
      <c r="D17" s="154"/>
      <c r="E17" s="155"/>
      <c r="F17" s="156"/>
      <c r="G17" s="156"/>
      <c r="H17" s="156"/>
      <c r="I17" s="157">
        <v>0</v>
      </c>
      <c r="J17" s="157">
        <v>0</v>
      </c>
      <c r="K17" s="150"/>
      <c r="L17" s="151">
        <v>0</v>
      </c>
      <c r="M17" s="158"/>
      <c r="N17" s="151">
        <v>0</v>
      </c>
      <c r="O17" s="163">
        <f>tblSalesData[[#This Row],[Labor income]]+tblSalesData[[#This Row],[Selling price materials]]</f>
        <v>0</v>
      </c>
      <c r="P17" s="163">
        <f>tblSalesData[[#This Row],[Total price]]-tblSalesData[[#This Row],[Costs for materials]]</f>
        <v>0</v>
      </c>
      <c r="Q17" s="131"/>
    </row>
    <row r="18" spans="1:17" ht="21" customHeight="1" thickBot="1" x14ac:dyDescent="0.35">
      <c r="B18" s="131"/>
      <c r="C18" s="153"/>
      <c r="D18" s="154"/>
      <c r="E18" s="155"/>
      <c r="F18" s="156"/>
      <c r="G18" s="156"/>
      <c r="H18" s="156"/>
      <c r="I18" s="157">
        <v>0</v>
      </c>
      <c r="J18" s="157">
        <v>0</v>
      </c>
      <c r="K18" s="150"/>
      <c r="L18" s="151">
        <v>0</v>
      </c>
      <c r="M18" s="152"/>
      <c r="N18" s="151">
        <v>0</v>
      </c>
      <c r="O18" s="163">
        <f>(tblSalesData[[#This Row],[Labor income]]+tblSalesData[[#This Row],[Other expenses]]+tblSalesData[[#This Row],[Selling price materials]])</f>
        <v>0</v>
      </c>
      <c r="P18" s="163">
        <f>tblSalesData[[#This Row],[Total price]]-tblSalesData[[#This Row],[Costs for materials]]</f>
        <v>0</v>
      </c>
      <c r="Q18" s="131"/>
    </row>
    <row r="19" spans="1:17" ht="21" customHeight="1" thickTop="1" x14ac:dyDescent="0.3">
      <c r="A19" s="130" t="s">
        <v>1</v>
      </c>
      <c r="B19" s="159">
        <f>SUBTOTAL(2,tblSalesData[No.])</f>
        <v>2</v>
      </c>
      <c r="C19" s="132"/>
      <c r="D19" s="131"/>
      <c r="E19" s="131"/>
      <c r="F19" s="134"/>
      <c r="G19" s="134"/>
      <c r="H19" s="134"/>
      <c r="I19" s="135">
        <f>SUBTOTAL(109,tblSalesData[Costs for materials])</f>
        <v>150</v>
      </c>
      <c r="J19" s="135">
        <f>SUM(tblSalesData[Selling price materials])</f>
        <v>150</v>
      </c>
      <c r="K19" s="136">
        <f>SUBTOTAL(109,tblSalesData[Hours of work])</f>
        <v>7</v>
      </c>
      <c r="L19" s="137">
        <f>SUM(tblSalesData[Other expenses])</f>
        <v>70</v>
      </c>
      <c r="M19" s="138"/>
      <c r="N19" s="137">
        <f>SUBTOTAL(109,tblSalesData[Labor income])</f>
        <v>1300</v>
      </c>
      <c r="O19" s="259">
        <f>SUBTOTAL(109,tblSalesData[Total price])</f>
        <v>1520</v>
      </c>
      <c r="P19" s="260">
        <f>SUBTOTAL(109,tblSalesData[Gross Profit])</f>
        <v>1370</v>
      </c>
      <c r="Q19" s="131"/>
    </row>
    <row r="20" spans="1:17" ht="21" customHeight="1" x14ac:dyDescent="0.3">
      <c r="B20" s="131"/>
      <c r="C20" s="132"/>
      <c r="D20" s="133"/>
      <c r="E20" s="131"/>
      <c r="F20" s="134"/>
      <c r="G20" s="134"/>
      <c r="H20" s="134"/>
      <c r="I20" s="135"/>
      <c r="J20" s="135"/>
      <c r="K20" s="136"/>
      <c r="L20" s="137"/>
      <c r="M20" s="138"/>
      <c r="N20" s="137"/>
      <c r="O20" s="161"/>
      <c r="P20" s="162"/>
      <c r="Q20" s="131"/>
    </row>
    <row r="21" spans="1:17" ht="21" customHeight="1" x14ac:dyDescent="0.3">
      <c r="B21" s="131"/>
      <c r="C21" s="142" t="s">
        <v>57</v>
      </c>
      <c r="D21" s="133"/>
      <c r="E21" s="131"/>
      <c r="F21" s="143"/>
      <c r="G21" s="143"/>
      <c r="H21" s="143"/>
      <c r="I21" s="135"/>
      <c r="J21" s="135"/>
      <c r="K21" s="136"/>
      <c r="L21" s="137"/>
      <c r="M21" s="138"/>
      <c r="N21" s="137"/>
      <c r="O21" s="161"/>
      <c r="P21" s="162"/>
      <c r="Q21" s="131"/>
    </row>
    <row r="22" spans="1:17" ht="21" customHeight="1" x14ac:dyDescent="0.3">
      <c r="B22" s="144" t="s">
        <v>81</v>
      </c>
      <c r="C22" s="145" t="s">
        <v>0</v>
      </c>
      <c r="D22" s="146" t="s">
        <v>46</v>
      </c>
      <c r="E22" s="147" t="s">
        <v>24</v>
      </c>
      <c r="F22" s="148" t="s">
        <v>3</v>
      </c>
      <c r="G22" s="148" t="s">
        <v>5</v>
      </c>
      <c r="H22" s="148" t="s">
        <v>6</v>
      </c>
      <c r="I22" s="149" t="s">
        <v>41</v>
      </c>
      <c r="J22" s="149" t="s">
        <v>42</v>
      </c>
      <c r="K22" s="150" t="s">
        <v>7</v>
      </c>
      <c r="L22" s="151" t="s">
        <v>8</v>
      </c>
      <c r="M22" s="152" t="s">
        <v>43</v>
      </c>
      <c r="N22" s="151" t="s">
        <v>47</v>
      </c>
      <c r="O22" s="163" t="s">
        <v>29</v>
      </c>
      <c r="P22" s="163" t="s">
        <v>105</v>
      </c>
      <c r="Q22" s="131"/>
    </row>
    <row r="23" spans="1:17" ht="21" customHeight="1" x14ac:dyDescent="0.3">
      <c r="B23" s="131"/>
      <c r="C23" s="153">
        <v>43684</v>
      </c>
      <c r="D23" s="154">
        <v>1</v>
      </c>
      <c r="E23" s="155" t="s">
        <v>114</v>
      </c>
      <c r="F23" s="156" t="s">
        <v>28</v>
      </c>
      <c r="G23" s="156" t="s">
        <v>34</v>
      </c>
      <c r="H23" s="156"/>
      <c r="I23" s="157">
        <v>0</v>
      </c>
      <c r="J23" s="157">
        <v>0</v>
      </c>
      <c r="K23" s="150">
        <v>2</v>
      </c>
      <c r="L23" s="151">
        <v>50</v>
      </c>
      <c r="M23" s="152" t="s">
        <v>115</v>
      </c>
      <c r="N23" s="151">
        <v>300</v>
      </c>
      <c r="O23" s="163">
        <f>SUM(tblSalesData23[[#This Row],[Labor income]]+tblSalesData23[[#This Row],[Other expenses]]+tblSalesData23[[#This Row],[Selling price materials]])</f>
        <v>350</v>
      </c>
      <c r="P23" s="163">
        <f>tblSalesData23[[#This Row],[Total price]]-tblSalesData23[[#This Row],[Costs for materials]]</f>
        <v>350</v>
      </c>
      <c r="Q23" s="131"/>
    </row>
    <row r="24" spans="1:17" ht="21" customHeight="1" x14ac:dyDescent="0.3">
      <c r="B24" s="131"/>
      <c r="C24" s="153">
        <v>43693</v>
      </c>
      <c r="D24" s="154">
        <v>2</v>
      </c>
      <c r="E24" s="155" t="s">
        <v>117</v>
      </c>
      <c r="F24" s="156" t="s">
        <v>32</v>
      </c>
      <c r="G24" s="156" t="s">
        <v>35</v>
      </c>
      <c r="H24" s="156"/>
      <c r="I24" s="157">
        <v>0</v>
      </c>
      <c r="J24" s="157">
        <v>0</v>
      </c>
      <c r="K24" s="150">
        <v>2</v>
      </c>
      <c r="L24" s="151">
        <v>100</v>
      </c>
      <c r="M24" s="152" t="s">
        <v>115</v>
      </c>
      <c r="N24" s="151">
        <v>500</v>
      </c>
      <c r="O24" s="163">
        <f>SUM(tblSalesData23[[#This Row],[Labor income]]+tblSalesData23[[#This Row],[Other expenses]]+tblSalesData23[[#This Row],[Selling price materials]])</f>
        <v>600</v>
      </c>
      <c r="P24" s="163">
        <f>tblSalesData23[[#This Row],[Total price]]-tblSalesData23[[#This Row],[Costs for materials]]</f>
        <v>600</v>
      </c>
      <c r="Q24" s="131"/>
    </row>
    <row r="25" spans="1:17" ht="21" customHeight="1" x14ac:dyDescent="0.3">
      <c r="B25" s="131"/>
      <c r="C25" s="153">
        <v>43704</v>
      </c>
      <c r="D25" s="154">
        <v>3</v>
      </c>
      <c r="E25" s="155" t="s">
        <v>123</v>
      </c>
      <c r="F25" s="156" t="s">
        <v>32</v>
      </c>
      <c r="G25" s="156" t="s">
        <v>35</v>
      </c>
      <c r="H25" s="156"/>
      <c r="I25" s="157">
        <v>0</v>
      </c>
      <c r="J25" s="157">
        <v>0</v>
      </c>
      <c r="K25" s="150">
        <v>2</v>
      </c>
      <c r="L25" s="151">
        <v>50</v>
      </c>
      <c r="M25" s="152" t="s">
        <v>118</v>
      </c>
      <c r="N25" s="151">
        <v>200</v>
      </c>
      <c r="O25" s="163">
        <f>SUM(tblSalesData23[[#This Row],[Labor income]]+tblSalesData23[[#This Row],[Other expenses]]+tblSalesData23[[#This Row],[Selling price materials]])</f>
        <v>250</v>
      </c>
      <c r="P25" s="163">
        <f>tblSalesData23[[#This Row],[Total price]]-tblSalesData23[[#This Row],[Costs for materials]]</f>
        <v>250</v>
      </c>
      <c r="Q25" s="131"/>
    </row>
    <row r="26" spans="1:17" ht="21" customHeight="1" x14ac:dyDescent="0.3">
      <c r="B26" s="131"/>
      <c r="C26" s="153"/>
      <c r="D26" s="154"/>
      <c r="E26" s="155"/>
      <c r="F26" s="156"/>
      <c r="G26" s="156"/>
      <c r="H26" s="156"/>
      <c r="I26" s="157">
        <v>0</v>
      </c>
      <c r="J26" s="157">
        <v>0</v>
      </c>
      <c r="K26" s="150"/>
      <c r="L26" s="151">
        <v>0</v>
      </c>
      <c r="M26" s="152"/>
      <c r="N26" s="151"/>
      <c r="O26" s="163">
        <f>SUM(tblSalesData23[[#This Row],[Labor income]]+tblSalesData23[[#This Row],[Other expenses]]+tblSalesData23[[#This Row],[Selling price materials]])</f>
        <v>0</v>
      </c>
      <c r="P26" s="163">
        <f>tblSalesData23[[#This Row],[Total price]]-tblSalesData23[[#This Row],[Costs for materials]]</f>
        <v>0</v>
      </c>
      <c r="Q26" s="131"/>
    </row>
    <row r="27" spans="1:17" ht="21" customHeight="1" x14ac:dyDescent="0.3">
      <c r="B27" s="131"/>
      <c r="C27" s="153"/>
      <c r="D27" s="154"/>
      <c r="E27" s="155"/>
      <c r="F27" s="156"/>
      <c r="G27" s="156"/>
      <c r="H27" s="156"/>
      <c r="I27" s="157">
        <v>0</v>
      </c>
      <c r="J27" s="157">
        <v>0</v>
      </c>
      <c r="K27" s="150"/>
      <c r="L27" s="151">
        <v>0</v>
      </c>
      <c r="M27" s="152"/>
      <c r="N27" s="151"/>
      <c r="O27" s="163">
        <f>SUM(tblSalesData23[[#This Row],[Labor income]]+tblSalesData23[[#This Row],[Other expenses]]+tblSalesData23[[#This Row],[Selling price materials]])</f>
        <v>0</v>
      </c>
      <c r="P27" s="163">
        <f>tblSalesData23[[#This Row],[Total price]]-tblSalesData23[[#This Row],[Costs for materials]]</f>
        <v>0</v>
      </c>
      <c r="Q27" s="131"/>
    </row>
    <row r="28" spans="1:17" ht="21" customHeight="1" x14ac:dyDescent="0.3">
      <c r="B28" s="131"/>
      <c r="C28" s="153"/>
      <c r="D28" s="154"/>
      <c r="E28" s="155"/>
      <c r="F28" s="156"/>
      <c r="G28" s="156"/>
      <c r="H28" s="156"/>
      <c r="I28" s="157">
        <v>0</v>
      </c>
      <c r="J28" s="157">
        <v>0</v>
      </c>
      <c r="K28" s="150"/>
      <c r="L28" s="151">
        <v>0</v>
      </c>
      <c r="M28" s="152"/>
      <c r="N28" s="151"/>
      <c r="O28" s="163">
        <f>SUM(tblSalesData23[[#This Row],[Labor income]]+tblSalesData23[[#This Row],[Other expenses]]+tblSalesData23[[#This Row],[Selling price materials]])</f>
        <v>0</v>
      </c>
      <c r="P28" s="163">
        <f>tblSalesData23[[#This Row],[Total price]]-tblSalesData23[[#This Row],[Costs for materials]]</f>
        <v>0</v>
      </c>
      <c r="Q28" s="131"/>
    </row>
    <row r="29" spans="1:17" ht="21" customHeight="1" x14ac:dyDescent="0.3">
      <c r="B29" s="131"/>
      <c r="C29" s="153"/>
      <c r="D29" s="154"/>
      <c r="E29" s="155"/>
      <c r="F29" s="156"/>
      <c r="G29" s="156"/>
      <c r="H29" s="156"/>
      <c r="I29" s="157">
        <v>0</v>
      </c>
      <c r="J29" s="157">
        <v>0</v>
      </c>
      <c r="K29" s="150"/>
      <c r="L29" s="151">
        <v>0</v>
      </c>
      <c r="M29" s="158"/>
      <c r="N29" s="151"/>
      <c r="O29" s="163">
        <f>SUM(tblSalesData23[[#This Row],[Labor income]]+tblSalesData23[[#This Row],[Other expenses]]+tblSalesData23[[#This Row],[Selling price materials]])</f>
        <v>0</v>
      </c>
      <c r="P29" s="163">
        <f>tblSalesData23[[#This Row],[Total price]]-tblSalesData23[[#This Row],[Costs for materials]]</f>
        <v>0</v>
      </c>
      <c r="Q29" s="131"/>
    </row>
    <row r="30" spans="1:17" ht="21" customHeight="1" x14ac:dyDescent="0.3">
      <c r="B30" s="131"/>
      <c r="C30" s="153"/>
      <c r="D30" s="154"/>
      <c r="E30" s="155"/>
      <c r="F30" s="156"/>
      <c r="G30" s="156"/>
      <c r="H30" s="156"/>
      <c r="I30" s="157">
        <v>0</v>
      </c>
      <c r="J30" s="157">
        <v>0</v>
      </c>
      <c r="K30" s="150"/>
      <c r="L30" s="151">
        <v>0</v>
      </c>
      <c r="M30" s="158"/>
      <c r="N30" s="151"/>
      <c r="O30" s="163">
        <f>SUM(tblSalesData23[[#This Row],[Labor income]]+tblSalesData23[[#This Row],[Other expenses]]+tblSalesData23[[#This Row],[Selling price materials]])</f>
        <v>0</v>
      </c>
      <c r="P30" s="163">
        <f>tblSalesData23[[#This Row],[Total price]]-tblSalesData23[[#This Row],[Costs for materials]]</f>
        <v>0</v>
      </c>
      <c r="Q30" s="131"/>
    </row>
    <row r="31" spans="1:17" ht="21" customHeight="1" x14ac:dyDescent="0.3">
      <c r="B31" s="131"/>
      <c r="C31" s="153"/>
      <c r="D31" s="154"/>
      <c r="E31" s="155"/>
      <c r="F31" s="156"/>
      <c r="G31" s="156"/>
      <c r="H31" s="156"/>
      <c r="I31" s="157">
        <v>0</v>
      </c>
      <c r="J31" s="157">
        <v>0</v>
      </c>
      <c r="K31" s="150"/>
      <c r="L31" s="151">
        <v>0</v>
      </c>
      <c r="M31" s="158"/>
      <c r="N31" s="151"/>
      <c r="O31" s="163">
        <f>SUM(tblSalesData23[[#This Row],[Labor income]]+tblSalesData23[[#This Row],[Other expenses]]+tblSalesData23[[#This Row],[Selling price materials]])</f>
        <v>0</v>
      </c>
      <c r="P31" s="163">
        <f>tblSalesData23[[#This Row],[Total price]]-tblSalesData23[[#This Row],[Costs for materials]]</f>
        <v>0</v>
      </c>
      <c r="Q31" s="131"/>
    </row>
    <row r="32" spans="1:17" ht="21" customHeight="1" thickBot="1" x14ac:dyDescent="0.35">
      <c r="B32" s="131"/>
      <c r="C32" s="153"/>
      <c r="D32" s="154"/>
      <c r="E32" s="155"/>
      <c r="F32" s="156"/>
      <c r="G32" s="156"/>
      <c r="H32" s="156"/>
      <c r="I32" s="157">
        <v>0</v>
      </c>
      <c r="J32" s="157">
        <v>0</v>
      </c>
      <c r="K32" s="150"/>
      <c r="L32" s="151">
        <v>0</v>
      </c>
      <c r="M32" s="152"/>
      <c r="N32" s="151"/>
      <c r="O32" s="163">
        <f>SUM(tblSalesData23[[#This Row],[Labor income]]+tblSalesData23[[#This Row],[Other expenses]]+tblSalesData23[[#This Row],[Selling price materials]])</f>
        <v>0</v>
      </c>
      <c r="P32" s="163">
        <f>tblSalesData23[[#This Row],[Total price]]-tblSalesData23[[#This Row],[Costs for materials]]</f>
        <v>0</v>
      </c>
      <c r="Q32" s="131"/>
    </row>
    <row r="33" spans="1:17" ht="21" customHeight="1" thickTop="1" thickBot="1" x14ac:dyDescent="0.35">
      <c r="A33" s="130"/>
      <c r="B33" s="159"/>
      <c r="C33" s="132"/>
      <c r="D33" s="131"/>
      <c r="E33" s="131"/>
      <c r="F33" s="134"/>
      <c r="G33" s="134"/>
      <c r="H33" s="134"/>
      <c r="I33" s="135"/>
      <c r="J33" s="135"/>
      <c r="K33" s="136"/>
      <c r="L33" s="137"/>
      <c r="M33" s="138"/>
      <c r="N33" s="137"/>
      <c r="O33" s="163">
        <f>SUM(tblSalesData23[[#This Row],[Labor income]]+tblSalesData23[[#This Row],[Other expenses]]+tblSalesData23[[#This Row],[Selling price materials]])</f>
        <v>0</v>
      </c>
      <c r="P33" s="163">
        <f>tblSalesData23[[#This Row],[Total price]]-tblSalesData23[[#This Row],[Costs for materials]]</f>
        <v>0</v>
      </c>
      <c r="Q33" s="131"/>
    </row>
    <row r="34" spans="1:17" ht="21" customHeight="1" thickTop="1" x14ac:dyDescent="0.3">
      <c r="A34" s="130" t="s">
        <v>1</v>
      </c>
      <c r="B34" s="159"/>
      <c r="C34" s="132"/>
      <c r="D34" s="131"/>
      <c r="E34" s="131"/>
      <c r="F34" s="134"/>
      <c r="G34" s="134"/>
      <c r="H34" s="134"/>
      <c r="I34" s="135">
        <f>SUBTOTAL(109,tblSalesData23[Costs for materials])</f>
        <v>0</v>
      </c>
      <c r="J34" s="135">
        <f>SUBTOTAL(109,tblSalesData23[Selling price materials])</f>
        <v>0</v>
      </c>
      <c r="K34" s="136">
        <f>SUBTOTAL(109,tblSalesData23[Hours of work])</f>
        <v>6</v>
      </c>
      <c r="L34" s="137">
        <f>SUBTOTAL(109,tblSalesData23[Other expenses])</f>
        <v>200</v>
      </c>
      <c r="M34" s="138"/>
      <c r="N34" s="137">
        <f>SUBTOTAL(109,tblSalesData23[Labor income])</f>
        <v>1000</v>
      </c>
      <c r="O34" s="161">
        <f>SUBTOTAL(109,tblSalesData23[Total price])</f>
        <v>1200</v>
      </c>
      <c r="P34" s="166">
        <f>SUBTOTAL(109,tblSalesData23[Gross Profit])</f>
        <v>1200</v>
      </c>
      <c r="Q34" s="131"/>
    </row>
    <row r="35" spans="1:17" ht="21" customHeight="1" x14ac:dyDescent="0.3">
      <c r="B35" s="131"/>
      <c r="C35" s="132"/>
      <c r="D35" s="133"/>
      <c r="E35" s="131"/>
      <c r="F35" s="134"/>
      <c r="G35" s="134"/>
      <c r="H35" s="134"/>
      <c r="I35" s="135"/>
      <c r="J35" s="135"/>
      <c r="K35" s="136"/>
      <c r="L35" s="137"/>
      <c r="M35" s="138"/>
      <c r="N35" s="137"/>
      <c r="O35" s="161"/>
      <c r="P35" s="162"/>
      <c r="Q35" s="131"/>
    </row>
    <row r="36" spans="1:17" ht="21" customHeight="1" x14ac:dyDescent="0.3">
      <c r="B36" s="131"/>
      <c r="C36" s="142" t="s">
        <v>58</v>
      </c>
      <c r="D36" s="133"/>
      <c r="E36" s="131"/>
      <c r="F36" s="143"/>
      <c r="G36" s="143"/>
      <c r="H36" s="143"/>
      <c r="I36" s="135"/>
      <c r="J36" s="135"/>
      <c r="K36" s="136"/>
      <c r="L36" s="137"/>
      <c r="M36" s="138"/>
      <c r="N36" s="137"/>
      <c r="O36" s="161"/>
      <c r="P36" s="162"/>
      <c r="Q36" s="131"/>
    </row>
    <row r="37" spans="1:17" ht="21" customHeight="1" x14ac:dyDescent="0.3">
      <c r="B37" s="144" t="s">
        <v>81</v>
      </c>
      <c r="C37" s="145" t="s">
        <v>0</v>
      </c>
      <c r="D37" s="146" t="s">
        <v>46</v>
      </c>
      <c r="E37" s="147" t="s">
        <v>24</v>
      </c>
      <c r="F37" s="148" t="s">
        <v>3</v>
      </c>
      <c r="G37" s="148" t="s">
        <v>5</v>
      </c>
      <c r="H37" s="148" t="s">
        <v>6</v>
      </c>
      <c r="I37" s="149" t="s">
        <v>41</v>
      </c>
      <c r="J37" s="149" t="s">
        <v>42</v>
      </c>
      <c r="K37" s="150" t="s">
        <v>7</v>
      </c>
      <c r="L37" s="151" t="s">
        <v>8</v>
      </c>
      <c r="M37" s="152" t="s">
        <v>43</v>
      </c>
      <c r="N37" s="151" t="s">
        <v>47</v>
      </c>
      <c r="O37" s="163" t="s">
        <v>29</v>
      </c>
      <c r="P37" s="163" t="s">
        <v>105</v>
      </c>
      <c r="Q37" s="131"/>
    </row>
    <row r="38" spans="1:17" ht="21" customHeight="1" x14ac:dyDescent="0.3">
      <c r="B38" s="131"/>
      <c r="C38" s="153">
        <v>43724</v>
      </c>
      <c r="D38" s="154">
        <v>1</v>
      </c>
      <c r="E38" s="155" t="s">
        <v>119</v>
      </c>
      <c r="F38" s="156" t="s">
        <v>32</v>
      </c>
      <c r="G38" s="156" t="s">
        <v>35</v>
      </c>
      <c r="H38" s="156"/>
      <c r="I38" s="157">
        <v>0</v>
      </c>
      <c r="J38" s="157">
        <v>0</v>
      </c>
      <c r="K38" s="150">
        <v>2</v>
      </c>
      <c r="L38" s="151">
        <v>200</v>
      </c>
      <c r="M38" s="152" t="s">
        <v>120</v>
      </c>
      <c r="N38" s="151">
        <v>400</v>
      </c>
      <c r="O38" s="163">
        <f>SUM(tblSalesData2324[[#This Row],[Labor income]]+tblSalesData2324[[#This Row],[Other expenses]]+tblSalesData2324[[#This Row],[Selling price materials]])</f>
        <v>600</v>
      </c>
      <c r="P38" s="163">
        <f>tblSalesData2324[[#This Row],[Total price]]-tblSalesData2324[[#This Row],[Costs for materials]]</f>
        <v>600</v>
      </c>
      <c r="Q38" s="131"/>
    </row>
    <row r="39" spans="1:17" ht="21" customHeight="1" x14ac:dyDescent="0.3">
      <c r="B39" s="131"/>
      <c r="C39" s="153">
        <v>43724</v>
      </c>
      <c r="D39" s="154">
        <v>2</v>
      </c>
      <c r="E39" s="155" t="s">
        <v>121</v>
      </c>
      <c r="F39" s="156" t="s">
        <v>32</v>
      </c>
      <c r="G39" s="156" t="s">
        <v>35</v>
      </c>
      <c r="H39" s="156"/>
      <c r="I39" s="157">
        <v>0</v>
      </c>
      <c r="J39" s="157">
        <v>0</v>
      </c>
      <c r="K39" s="150">
        <v>1</v>
      </c>
      <c r="L39" s="151">
        <v>150</v>
      </c>
      <c r="M39" s="152" t="s">
        <v>122</v>
      </c>
      <c r="N39" s="151">
        <v>300</v>
      </c>
      <c r="O39" s="163">
        <f>SUM(tblSalesData2324[[#This Row],[Labor income]]+tblSalesData2324[[#This Row],[Other expenses]]+tblSalesData2324[[#This Row],[Selling price materials]])</f>
        <v>450</v>
      </c>
      <c r="P39" s="163">
        <f>tblSalesData2324[[#This Row],[Total price]]-tblSalesData2324[[#This Row],[Costs for materials]]</f>
        <v>450</v>
      </c>
      <c r="Q39" s="131"/>
    </row>
    <row r="40" spans="1:17" ht="21" customHeight="1" x14ac:dyDescent="0.3">
      <c r="B40" s="131"/>
      <c r="C40" s="153">
        <v>43725</v>
      </c>
      <c r="D40" s="154">
        <v>3</v>
      </c>
      <c r="E40" s="155" t="s">
        <v>124</v>
      </c>
      <c r="F40" s="156" t="s">
        <v>32</v>
      </c>
      <c r="G40" s="156" t="s">
        <v>35</v>
      </c>
      <c r="H40" s="156"/>
      <c r="I40" s="157">
        <v>0</v>
      </c>
      <c r="J40" s="157">
        <v>0</v>
      </c>
      <c r="K40" s="150">
        <v>1</v>
      </c>
      <c r="L40" s="151">
        <v>0</v>
      </c>
      <c r="M40" s="152"/>
      <c r="N40" s="151">
        <v>300</v>
      </c>
      <c r="O40" s="163">
        <f>SUM(tblSalesData2324[[#This Row],[Labor income]]+tblSalesData2324[[#This Row],[Other expenses]]+tblSalesData2324[[#This Row],[Selling price materials]])</f>
        <v>300</v>
      </c>
      <c r="P40" s="163">
        <f>tblSalesData2324[[#This Row],[Total price]]-tblSalesData2324[[#This Row],[Costs for materials]]</f>
        <v>300</v>
      </c>
      <c r="Q40" s="131"/>
    </row>
    <row r="41" spans="1:17" ht="21" customHeight="1" x14ac:dyDescent="0.3">
      <c r="B41" s="131"/>
      <c r="C41" s="153">
        <v>43728</v>
      </c>
      <c r="D41" s="154">
        <v>4</v>
      </c>
      <c r="E41" s="155" t="s">
        <v>125</v>
      </c>
      <c r="F41" s="156" t="s">
        <v>28</v>
      </c>
      <c r="G41" s="156" t="s">
        <v>34</v>
      </c>
      <c r="H41" s="156" t="s">
        <v>126</v>
      </c>
      <c r="I41" s="157">
        <v>150</v>
      </c>
      <c r="J41" s="157">
        <v>150</v>
      </c>
      <c r="K41" s="150">
        <v>1</v>
      </c>
      <c r="L41" s="151">
        <v>160</v>
      </c>
      <c r="M41" s="152" t="s">
        <v>120</v>
      </c>
      <c r="N41" s="151">
        <v>350</v>
      </c>
      <c r="O41" s="163">
        <f>SUM(tblSalesData2324[[#This Row],[Labor income]]+tblSalesData2324[[#This Row],[Other expenses]]+tblSalesData2324[[#This Row],[Selling price materials]])</f>
        <v>660</v>
      </c>
      <c r="P41" s="163">
        <f>tblSalesData2324[[#This Row],[Total price]]-tblSalesData2324[[#This Row],[Costs for materials]]</f>
        <v>510</v>
      </c>
      <c r="Q41" s="131"/>
    </row>
    <row r="42" spans="1:17" ht="21" customHeight="1" x14ac:dyDescent="0.3">
      <c r="B42" s="131"/>
      <c r="C42" s="153">
        <v>43731</v>
      </c>
      <c r="D42" s="154">
        <v>5</v>
      </c>
      <c r="E42" s="155" t="s">
        <v>127</v>
      </c>
      <c r="F42" s="156" t="s">
        <v>33</v>
      </c>
      <c r="G42" s="156" t="s">
        <v>35</v>
      </c>
      <c r="H42" s="156"/>
      <c r="I42" s="157">
        <v>0</v>
      </c>
      <c r="J42" s="157">
        <v>0</v>
      </c>
      <c r="K42" s="150"/>
      <c r="L42" s="151">
        <v>0</v>
      </c>
      <c r="M42" s="152"/>
      <c r="N42" s="151">
        <v>550</v>
      </c>
      <c r="O42" s="163">
        <f>SUM(tblSalesData2324[[#This Row],[Labor income]]+tblSalesData2324[[#This Row],[Other expenses]]+tblSalesData2324[[#This Row],[Selling price materials]])</f>
        <v>550</v>
      </c>
      <c r="P42" s="163">
        <f>tblSalesData2324[[#This Row],[Total price]]-tblSalesData2324[[#This Row],[Costs for materials]]</f>
        <v>550</v>
      </c>
      <c r="Q42" s="131"/>
    </row>
    <row r="43" spans="1:17" ht="21" customHeight="1" x14ac:dyDescent="0.3">
      <c r="B43" s="131"/>
      <c r="C43" s="153">
        <v>43734</v>
      </c>
      <c r="D43" s="154">
        <v>6</v>
      </c>
      <c r="E43" s="155" t="s">
        <v>128</v>
      </c>
      <c r="F43" s="156" t="s">
        <v>32</v>
      </c>
      <c r="G43" s="156" t="s">
        <v>35</v>
      </c>
      <c r="H43" s="156"/>
      <c r="I43" s="157">
        <v>0</v>
      </c>
      <c r="J43" s="157">
        <v>0</v>
      </c>
      <c r="K43" s="150">
        <v>3</v>
      </c>
      <c r="L43" s="151">
        <v>0</v>
      </c>
      <c r="M43" s="152"/>
      <c r="N43" s="151">
        <v>250</v>
      </c>
      <c r="O43" s="163">
        <f>SUM(tblSalesData2324[[#This Row],[Labor income]]+tblSalesData2324[[#This Row],[Other expenses]]+tblSalesData2324[[#This Row],[Selling price materials]])</f>
        <v>250</v>
      </c>
      <c r="P43" s="163">
        <f>tblSalesData2324[[#This Row],[Total price]]-tblSalesData2324[[#This Row],[Costs for materials]]</f>
        <v>250</v>
      </c>
      <c r="Q43" s="131"/>
    </row>
    <row r="44" spans="1:17" ht="21" customHeight="1" x14ac:dyDescent="0.3">
      <c r="B44" s="131"/>
      <c r="C44" s="153"/>
      <c r="D44" s="154"/>
      <c r="E44" s="155"/>
      <c r="F44" s="156"/>
      <c r="G44" s="156"/>
      <c r="H44" s="156"/>
      <c r="I44" s="157">
        <v>0</v>
      </c>
      <c r="J44" s="157">
        <v>0</v>
      </c>
      <c r="K44" s="150"/>
      <c r="L44" s="151">
        <v>0</v>
      </c>
      <c r="M44" s="158"/>
      <c r="N44" s="151"/>
      <c r="O44" s="163">
        <f>SUM(tblSalesData2324[[#This Row],[Labor income]]+tblSalesData2324[[#This Row],[Other expenses]]+tblSalesData2324[[#This Row],[Selling price materials]])</f>
        <v>0</v>
      </c>
      <c r="P44" s="163">
        <f>tblSalesData2324[[#This Row],[Total price]]-tblSalesData2324[[#This Row],[Costs for materials]]</f>
        <v>0</v>
      </c>
      <c r="Q44" s="131"/>
    </row>
    <row r="45" spans="1:17" ht="21" customHeight="1" x14ac:dyDescent="0.3">
      <c r="B45" s="131"/>
      <c r="C45" s="153"/>
      <c r="D45" s="154"/>
      <c r="E45" s="155"/>
      <c r="F45" s="156"/>
      <c r="G45" s="156"/>
      <c r="H45" s="156"/>
      <c r="I45" s="157">
        <v>0</v>
      </c>
      <c r="J45" s="157">
        <v>0</v>
      </c>
      <c r="K45" s="150"/>
      <c r="L45" s="151">
        <v>0</v>
      </c>
      <c r="M45" s="158"/>
      <c r="N45" s="151"/>
      <c r="O45" s="163">
        <f>SUM(tblSalesData2324[[#This Row],[Labor income]]+tblSalesData2324[[#This Row],[Other expenses]]+tblSalesData2324[[#This Row],[Selling price materials]])</f>
        <v>0</v>
      </c>
      <c r="P45" s="163">
        <f>tblSalesData2324[[#This Row],[Total price]]-tblSalesData2324[[#This Row],[Costs for materials]]</f>
        <v>0</v>
      </c>
      <c r="Q45" s="131"/>
    </row>
    <row r="46" spans="1:17" ht="21" customHeight="1" thickBot="1" x14ac:dyDescent="0.35">
      <c r="B46" s="131"/>
      <c r="C46" s="153"/>
      <c r="D46" s="154"/>
      <c r="E46" s="155"/>
      <c r="F46" s="156"/>
      <c r="G46" s="156"/>
      <c r="H46" s="156"/>
      <c r="I46" s="157">
        <v>0</v>
      </c>
      <c r="J46" s="157">
        <v>0</v>
      </c>
      <c r="K46" s="150"/>
      <c r="L46" s="151">
        <v>0</v>
      </c>
      <c r="M46" s="158"/>
      <c r="N46" s="151"/>
      <c r="O46" s="163">
        <f>SUM(tblSalesData2324[[#This Row],[Labor income]]+tblSalesData2324[[#This Row],[Other expenses]]+tblSalesData2324[[#This Row],[Selling price materials]])</f>
        <v>0</v>
      </c>
      <c r="P46" s="163">
        <f>tblSalesData2324[[#This Row],[Total price]]-tblSalesData2324[[#This Row],[Costs for materials]]</f>
        <v>0</v>
      </c>
      <c r="Q46" s="131"/>
    </row>
    <row r="47" spans="1:17" ht="21" customHeight="1" thickTop="1" thickBot="1" x14ac:dyDescent="0.35">
      <c r="A47" s="130" t="s">
        <v>1</v>
      </c>
      <c r="B47" s="159"/>
      <c r="C47" s="279"/>
      <c r="D47" s="131"/>
      <c r="E47" s="131"/>
      <c r="F47" s="134"/>
      <c r="G47" s="134"/>
      <c r="H47" s="134"/>
      <c r="I47" s="135"/>
      <c r="J47" s="135"/>
      <c r="K47" s="136"/>
      <c r="L47" s="137"/>
      <c r="M47" s="138"/>
      <c r="N47" s="137"/>
      <c r="O47" s="163">
        <f>SUM(tblSalesData2324[[#This Row],[Labor income]]+tblSalesData2324[[#This Row],[Other expenses]]+tblSalesData2324[[#This Row],[Selling price materials]])</f>
        <v>0</v>
      </c>
      <c r="P47" s="163">
        <f>tblSalesData2324[[#This Row],[Total price]]-tblSalesData2324[[#This Row],[Costs for materials]]</f>
        <v>0</v>
      </c>
      <c r="Q47" s="131"/>
    </row>
    <row r="48" spans="1:17" ht="21" customHeight="1" thickTop="1" x14ac:dyDescent="0.3">
      <c r="A48" s="130" t="s">
        <v>1</v>
      </c>
      <c r="B48" s="159"/>
      <c r="C48" s="132"/>
      <c r="D48" s="133"/>
      <c r="E48" s="131"/>
      <c r="F48" s="134"/>
      <c r="G48" s="134"/>
      <c r="H48" s="134"/>
      <c r="I48" s="135"/>
      <c r="J48" s="135"/>
      <c r="K48" s="136"/>
      <c r="L48" s="137"/>
      <c r="M48" s="138"/>
      <c r="N48" s="137"/>
      <c r="O48" s="161">
        <f>SUBTOTAL(109,tblSalesData2324[Total price])</f>
        <v>2810</v>
      </c>
      <c r="P48" s="166">
        <f>SUBTOTAL(109,tblSalesData2324[Gross Profit])</f>
        <v>2660</v>
      </c>
      <c r="Q48" s="131"/>
    </row>
    <row r="49" spans="1:17" ht="21" customHeight="1" x14ac:dyDescent="0.3">
      <c r="B49" s="131"/>
      <c r="C49" s="132"/>
      <c r="D49" s="133"/>
      <c r="E49" s="131"/>
      <c r="F49" s="134"/>
      <c r="G49" s="134"/>
      <c r="H49" s="134"/>
      <c r="I49" s="135"/>
      <c r="J49" s="135"/>
      <c r="K49" s="136"/>
      <c r="L49" s="137"/>
      <c r="M49" s="138"/>
      <c r="N49" s="137"/>
      <c r="O49" s="161"/>
      <c r="P49" s="162"/>
      <c r="Q49" s="131"/>
    </row>
    <row r="50" spans="1:17" ht="21" customHeight="1" x14ac:dyDescent="0.3">
      <c r="B50" s="131"/>
      <c r="C50" s="142" t="s">
        <v>59</v>
      </c>
      <c r="D50" s="133"/>
      <c r="E50" s="131"/>
      <c r="F50" s="143"/>
      <c r="G50" s="143"/>
      <c r="H50" s="143"/>
      <c r="I50" s="135"/>
      <c r="J50" s="135"/>
      <c r="K50" s="136"/>
      <c r="L50" s="137"/>
      <c r="M50" s="138"/>
      <c r="N50" s="137"/>
      <c r="O50" s="161"/>
      <c r="P50" s="162"/>
      <c r="Q50" s="131"/>
    </row>
    <row r="51" spans="1:17" ht="21" customHeight="1" x14ac:dyDescent="0.3">
      <c r="B51" s="144" t="s">
        <v>81</v>
      </c>
      <c r="C51" s="145" t="s">
        <v>0</v>
      </c>
      <c r="D51" s="146" t="s">
        <v>46</v>
      </c>
      <c r="E51" s="147" t="s">
        <v>24</v>
      </c>
      <c r="F51" s="148" t="s">
        <v>3</v>
      </c>
      <c r="G51" s="148" t="s">
        <v>5</v>
      </c>
      <c r="H51" s="148" t="s">
        <v>6</v>
      </c>
      <c r="I51" s="149" t="s">
        <v>41</v>
      </c>
      <c r="J51" s="149" t="s">
        <v>42</v>
      </c>
      <c r="K51" s="150" t="s">
        <v>7</v>
      </c>
      <c r="L51" s="151" t="s">
        <v>8</v>
      </c>
      <c r="M51" s="152" t="s">
        <v>43</v>
      </c>
      <c r="N51" s="151" t="s">
        <v>47</v>
      </c>
      <c r="O51" s="163" t="s">
        <v>29</v>
      </c>
      <c r="P51" s="163" t="s">
        <v>105</v>
      </c>
      <c r="Q51" s="131"/>
    </row>
    <row r="52" spans="1:17" ht="21" customHeight="1" x14ac:dyDescent="0.3">
      <c r="B52" s="131"/>
      <c r="C52" s="153">
        <v>43722</v>
      </c>
      <c r="D52" s="154">
        <v>11</v>
      </c>
      <c r="E52" s="155" t="s">
        <v>129</v>
      </c>
      <c r="F52" s="156"/>
      <c r="G52" s="156"/>
      <c r="H52" s="156"/>
      <c r="I52" s="157">
        <v>0</v>
      </c>
      <c r="J52" s="157">
        <v>0</v>
      </c>
      <c r="K52" s="150"/>
      <c r="L52" s="151">
        <v>0</v>
      </c>
      <c r="M52" s="152"/>
      <c r="N52" s="151">
        <v>40</v>
      </c>
      <c r="O52" s="163">
        <f>SUM(tblSalesData2325[[#This Row],[Labor income]]+tblSalesData2325[[#This Row],[Other expenses]]+tblSalesData2325[[#This Row],[Selling price materials]])</f>
        <v>40</v>
      </c>
      <c r="P52" s="163">
        <f>tblSalesData2325[[#This Row],[Total price]]-tblSalesData2325[[#This Row],[Costs for materials]]</f>
        <v>40</v>
      </c>
      <c r="Q52" s="131"/>
    </row>
    <row r="53" spans="1:17" ht="21" customHeight="1" x14ac:dyDescent="0.3">
      <c r="B53" s="131"/>
      <c r="C53" s="153">
        <v>43724</v>
      </c>
      <c r="D53" s="154">
        <v>12</v>
      </c>
      <c r="E53" s="155" t="s">
        <v>130</v>
      </c>
      <c r="F53" s="156"/>
      <c r="G53" s="156"/>
      <c r="H53" s="156"/>
      <c r="I53" s="157">
        <v>0</v>
      </c>
      <c r="J53" s="157">
        <v>0</v>
      </c>
      <c r="K53" s="150"/>
      <c r="L53" s="151">
        <v>0</v>
      </c>
      <c r="M53" s="152"/>
      <c r="N53" s="151">
        <v>40</v>
      </c>
      <c r="O53" s="163">
        <f>SUM(tblSalesData2325[[#This Row],[Labor income]]+tblSalesData2325[[#This Row],[Other expenses]]+tblSalesData2325[[#This Row],[Selling price materials]])</f>
        <v>40</v>
      </c>
      <c r="P53" s="163">
        <f>tblSalesData2325[[#This Row],[Total price]]-tblSalesData2325[[#This Row],[Costs for materials]]</f>
        <v>40</v>
      </c>
      <c r="Q53" s="131"/>
    </row>
    <row r="54" spans="1:17" ht="21" customHeight="1" x14ac:dyDescent="0.3">
      <c r="B54" s="131"/>
      <c r="C54" s="153"/>
      <c r="D54" s="154"/>
      <c r="E54" s="155"/>
      <c r="F54" s="156"/>
      <c r="G54" s="156"/>
      <c r="H54" s="156"/>
      <c r="I54" s="157">
        <v>0</v>
      </c>
      <c r="J54" s="157">
        <v>0</v>
      </c>
      <c r="K54" s="150"/>
      <c r="L54" s="151">
        <v>0</v>
      </c>
      <c r="M54" s="152"/>
      <c r="N54" s="151">
        <v>0</v>
      </c>
      <c r="O54" s="163">
        <f>SUM(tblSalesData2325[[#This Row],[Labor income]]+tblSalesData2325[[#This Row],[Other expenses]]+tblSalesData2325[[#This Row],[Selling price materials]])</f>
        <v>0</v>
      </c>
      <c r="P54" s="163">
        <f>tblSalesData2325[[#This Row],[Total price]]-tblSalesData2325[[#This Row],[Costs for materials]]</f>
        <v>0</v>
      </c>
      <c r="Q54" s="131"/>
    </row>
    <row r="55" spans="1:17" ht="21" customHeight="1" x14ac:dyDescent="0.3">
      <c r="B55" s="131"/>
      <c r="C55" s="153"/>
      <c r="D55" s="154"/>
      <c r="E55" s="155"/>
      <c r="F55" s="156"/>
      <c r="G55" s="156"/>
      <c r="H55" s="156"/>
      <c r="I55" s="157">
        <v>0</v>
      </c>
      <c r="J55" s="157">
        <v>0</v>
      </c>
      <c r="K55" s="150"/>
      <c r="L55" s="151">
        <v>0</v>
      </c>
      <c r="M55" s="152"/>
      <c r="N55" s="151">
        <v>0</v>
      </c>
      <c r="O55" s="163">
        <f>SUM(tblSalesData2325[[#This Row],[Labor income]]+tblSalesData2325[[#This Row],[Other expenses]]+tblSalesData2325[[#This Row],[Selling price materials]])</f>
        <v>0</v>
      </c>
      <c r="P55" s="163">
        <f>tblSalesData2325[[#This Row],[Total price]]-tblSalesData2325[[#This Row],[Costs for materials]]</f>
        <v>0</v>
      </c>
      <c r="Q55" s="131"/>
    </row>
    <row r="56" spans="1:17" ht="21" customHeight="1" x14ac:dyDescent="0.3">
      <c r="B56" s="131"/>
      <c r="C56" s="153"/>
      <c r="D56" s="154"/>
      <c r="E56" s="155"/>
      <c r="F56" s="156"/>
      <c r="G56" s="156"/>
      <c r="H56" s="156"/>
      <c r="I56" s="157">
        <v>0</v>
      </c>
      <c r="J56" s="157">
        <v>0</v>
      </c>
      <c r="K56" s="150"/>
      <c r="L56" s="151">
        <v>0</v>
      </c>
      <c r="M56" s="152"/>
      <c r="N56" s="151">
        <v>0</v>
      </c>
      <c r="O56" s="163">
        <f>SUM(tblSalesData2325[[#This Row],[Labor income]]+tblSalesData2325[[#This Row],[Other expenses]]+tblSalesData2325[[#This Row],[Selling price materials]])</f>
        <v>0</v>
      </c>
      <c r="P56" s="163">
        <f>tblSalesData2325[[#This Row],[Total price]]-tblSalesData2325[[#This Row],[Costs for materials]]</f>
        <v>0</v>
      </c>
      <c r="Q56" s="131"/>
    </row>
    <row r="57" spans="1:17" ht="21" customHeight="1" x14ac:dyDescent="0.3">
      <c r="B57" s="131"/>
      <c r="C57" s="153"/>
      <c r="D57" s="154"/>
      <c r="E57" s="155"/>
      <c r="F57" s="156"/>
      <c r="G57" s="156"/>
      <c r="H57" s="156"/>
      <c r="I57" s="157">
        <v>0</v>
      </c>
      <c r="J57" s="157">
        <v>0</v>
      </c>
      <c r="K57" s="150"/>
      <c r="L57" s="151">
        <v>0</v>
      </c>
      <c r="M57" s="152"/>
      <c r="N57" s="151">
        <v>0</v>
      </c>
      <c r="O57" s="163">
        <f>SUM(tblSalesData2325[[#This Row],[Labor income]]+tblSalesData2325[[#This Row],[Other expenses]]+tblSalesData2325[[#This Row],[Selling price materials]])</f>
        <v>0</v>
      </c>
      <c r="P57" s="163">
        <f>tblSalesData2325[[#This Row],[Total price]]-tblSalesData2325[[#This Row],[Costs for materials]]</f>
        <v>0</v>
      </c>
      <c r="Q57" s="131"/>
    </row>
    <row r="58" spans="1:17" ht="21" customHeight="1" x14ac:dyDescent="0.3">
      <c r="B58" s="131"/>
      <c r="C58" s="153"/>
      <c r="D58" s="154"/>
      <c r="E58" s="155"/>
      <c r="F58" s="156"/>
      <c r="G58" s="156"/>
      <c r="H58" s="156"/>
      <c r="I58" s="157">
        <v>0</v>
      </c>
      <c r="J58" s="157">
        <v>0</v>
      </c>
      <c r="K58" s="150"/>
      <c r="L58" s="151">
        <v>0</v>
      </c>
      <c r="M58" s="158"/>
      <c r="N58" s="151">
        <v>0</v>
      </c>
      <c r="O58" s="163">
        <f>SUM(tblSalesData2325[[#This Row],[Labor income]]+tblSalesData2325[[#This Row],[Other expenses]]+tblSalesData2325[[#This Row],[Selling price materials]])</f>
        <v>0</v>
      </c>
      <c r="P58" s="163">
        <f>tblSalesData2325[[#This Row],[Total price]]-tblSalesData2325[[#This Row],[Costs for materials]]</f>
        <v>0</v>
      </c>
      <c r="Q58" s="131"/>
    </row>
    <row r="59" spans="1:17" ht="21" customHeight="1" x14ac:dyDescent="0.3">
      <c r="B59" s="131"/>
      <c r="C59" s="153"/>
      <c r="D59" s="154"/>
      <c r="E59" s="155"/>
      <c r="F59" s="156"/>
      <c r="G59" s="156"/>
      <c r="H59" s="156"/>
      <c r="I59" s="157">
        <v>0</v>
      </c>
      <c r="J59" s="157">
        <v>0</v>
      </c>
      <c r="K59" s="150"/>
      <c r="L59" s="151">
        <v>0</v>
      </c>
      <c r="M59" s="158"/>
      <c r="N59" s="151">
        <v>0</v>
      </c>
      <c r="O59" s="163">
        <f>SUM(tblSalesData2325[[#This Row],[Labor income]]+tblSalesData2325[[#This Row],[Other expenses]]+tblSalesData2325[[#This Row],[Selling price materials]])</f>
        <v>0</v>
      </c>
      <c r="P59" s="163">
        <f>tblSalesData2325[[#This Row],[Total price]]-tblSalesData2325[[#This Row],[Costs for materials]]</f>
        <v>0</v>
      </c>
      <c r="Q59" s="131"/>
    </row>
    <row r="60" spans="1:17" ht="21" customHeight="1" x14ac:dyDescent="0.3">
      <c r="B60" s="131"/>
      <c r="C60" s="153"/>
      <c r="D60" s="154"/>
      <c r="E60" s="155"/>
      <c r="F60" s="156"/>
      <c r="G60" s="156"/>
      <c r="H60" s="156"/>
      <c r="I60" s="157">
        <v>0</v>
      </c>
      <c r="J60" s="157">
        <v>0</v>
      </c>
      <c r="K60" s="150"/>
      <c r="L60" s="151">
        <v>0</v>
      </c>
      <c r="M60" s="158"/>
      <c r="N60" s="151">
        <v>0</v>
      </c>
      <c r="O60" s="163">
        <f>SUM(tblSalesData2325[[#This Row],[Labor income]]+tblSalesData2325[[#This Row],[Other expenses]]+tblSalesData2325[[#This Row],[Selling price materials]])</f>
        <v>0</v>
      </c>
      <c r="P60" s="163">
        <f>tblSalesData2325[[#This Row],[Total price]]-tblSalesData2325[[#This Row],[Costs for materials]]</f>
        <v>0</v>
      </c>
      <c r="Q60" s="131"/>
    </row>
    <row r="61" spans="1:17" ht="21" customHeight="1" thickBot="1" x14ac:dyDescent="0.35">
      <c r="B61" s="131"/>
      <c r="C61" s="153"/>
      <c r="D61" s="154"/>
      <c r="E61" s="155"/>
      <c r="F61" s="156"/>
      <c r="G61" s="156"/>
      <c r="H61" s="156"/>
      <c r="I61" s="157">
        <v>0</v>
      </c>
      <c r="J61" s="157">
        <v>0</v>
      </c>
      <c r="K61" s="150"/>
      <c r="L61" s="151">
        <v>0</v>
      </c>
      <c r="M61" s="152"/>
      <c r="N61" s="151">
        <v>0</v>
      </c>
      <c r="O61" s="163">
        <f>SUM(tblSalesData2325[[#This Row],[Labor income]]+tblSalesData2325[[#This Row],[Other expenses]]+tblSalesData2325[[#This Row],[Selling price materials]])</f>
        <v>0</v>
      </c>
      <c r="P61" s="163">
        <f>tblSalesData2325[[#This Row],[Total price]]-tblSalesData2325[[#This Row],[Costs for materials]]</f>
        <v>0</v>
      </c>
      <c r="Q61" s="131"/>
    </row>
    <row r="62" spans="1:17" ht="21" customHeight="1" thickTop="1" thickBot="1" x14ac:dyDescent="0.35">
      <c r="A62" s="130" t="s">
        <v>1</v>
      </c>
      <c r="B62" s="159"/>
      <c r="C62" s="132"/>
      <c r="D62" s="131"/>
      <c r="E62" s="131"/>
      <c r="F62" s="134"/>
      <c r="G62" s="134"/>
      <c r="H62" s="134"/>
      <c r="I62" s="135">
        <v>0</v>
      </c>
      <c r="J62" s="135">
        <v>0</v>
      </c>
      <c r="K62" s="136">
        <v>0</v>
      </c>
      <c r="L62" s="137"/>
      <c r="M62" s="138"/>
      <c r="N62" s="137"/>
      <c r="O62" s="163">
        <f>SUM(tblSalesData2325[[#This Row],[Labor income]]+tblSalesData2325[[#This Row],[Other expenses]]+tblSalesData2325[[#This Row],[Selling price materials]])</f>
        <v>0</v>
      </c>
      <c r="P62" s="163">
        <f>tblSalesData2325[[#This Row],[Total price]]-tblSalesData2325[[#This Row],[Costs for materials]]</f>
        <v>0</v>
      </c>
      <c r="Q62" s="131"/>
    </row>
    <row r="63" spans="1:17" ht="21" customHeight="1" thickTop="1" x14ac:dyDescent="0.3">
      <c r="A63" s="130" t="s">
        <v>1</v>
      </c>
      <c r="B63" s="159">
        <f>SUBTOTAL(2,tblSalesData2325[DATE])</f>
        <v>2</v>
      </c>
      <c r="C63" s="132"/>
      <c r="D63" s="133"/>
      <c r="E63" s="131"/>
      <c r="F63" s="134"/>
      <c r="G63" s="134"/>
      <c r="H63" s="134"/>
      <c r="I63" s="135">
        <f>SUBTOTAL(109,tblSalesData2325[Costs for materials])</f>
        <v>0</v>
      </c>
      <c r="J63" s="135">
        <f>SUBTOTAL(109,tblSalesData2325[Selling price materials])</f>
        <v>0</v>
      </c>
      <c r="K63" s="136">
        <f>SUBTOTAL(109,tblSalesData2325[Hours of work])</f>
        <v>0</v>
      </c>
      <c r="L63" s="137">
        <f>SUBTOTAL(109,tblSalesData2325[Other expenses])</f>
        <v>0</v>
      </c>
      <c r="M63" s="138"/>
      <c r="N63" s="137">
        <f>SUBTOTAL(109,tblSalesData2325[Labor income])</f>
        <v>80</v>
      </c>
      <c r="O63" s="161">
        <f>SUBTOTAL(109,tblSalesData2325[Total price])</f>
        <v>80</v>
      </c>
      <c r="P63" s="166">
        <f>SUBTOTAL(109,tblSalesData2325[Gross Profit])</f>
        <v>80</v>
      </c>
      <c r="Q63" s="131"/>
    </row>
    <row r="64" spans="1:17" ht="21" customHeight="1" x14ac:dyDescent="0.3">
      <c r="B64" s="131"/>
      <c r="C64" s="132"/>
      <c r="D64" s="133"/>
      <c r="E64" s="131"/>
      <c r="F64" s="134"/>
      <c r="G64" s="134"/>
      <c r="H64" s="134"/>
      <c r="I64" s="135"/>
      <c r="J64" s="135"/>
      <c r="K64" s="136"/>
      <c r="L64" s="137"/>
      <c r="M64" s="138"/>
      <c r="N64" s="137"/>
      <c r="O64" s="161"/>
      <c r="P64" s="162"/>
      <c r="Q64" s="131"/>
    </row>
    <row r="65" spans="1:17" ht="21" customHeight="1" x14ac:dyDescent="0.3">
      <c r="B65" s="131"/>
      <c r="C65" s="142" t="s">
        <v>60</v>
      </c>
      <c r="D65" s="133"/>
      <c r="E65" s="131"/>
      <c r="F65" s="143"/>
      <c r="G65" s="143"/>
      <c r="H65" s="143"/>
      <c r="I65" s="135"/>
      <c r="J65" s="135"/>
      <c r="K65" s="136"/>
      <c r="L65" s="137"/>
      <c r="M65" s="138"/>
      <c r="N65" s="137"/>
      <c r="O65" s="161"/>
      <c r="P65" s="162"/>
      <c r="Q65" s="131"/>
    </row>
    <row r="66" spans="1:17" ht="21" customHeight="1" x14ac:dyDescent="0.3">
      <c r="B66" s="144" t="s">
        <v>81</v>
      </c>
      <c r="C66" s="145" t="s">
        <v>0</v>
      </c>
      <c r="D66" s="146" t="s">
        <v>46</v>
      </c>
      <c r="E66" s="147" t="s">
        <v>24</v>
      </c>
      <c r="F66" s="148" t="s">
        <v>3</v>
      </c>
      <c r="G66" s="148" t="s">
        <v>5</v>
      </c>
      <c r="H66" s="148" t="s">
        <v>6</v>
      </c>
      <c r="I66" s="149" t="s">
        <v>41</v>
      </c>
      <c r="J66" s="149" t="s">
        <v>42</v>
      </c>
      <c r="K66" s="150" t="s">
        <v>7</v>
      </c>
      <c r="L66" s="151" t="s">
        <v>8</v>
      </c>
      <c r="M66" s="152" t="s">
        <v>43</v>
      </c>
      <c r="N66" s="151" t="s">
        <v>47</v>
      </c>
      <c r="O66" s="163" t="s">
        <v>29</v>
      </c>
      <c r="P66" s="163" t="s">
        <v>105</v>
      </c>
      <c r="Q66" s="131"/>
    </row>
    <row r="67" spans="1:17" ht="21" customHeight="1" x14ac:dyDescent="0.3">
      <c r="B67" s="131"/>
      <c r="C67" s="153"/>
      <c r="D67" s="154"/>
      <c r="E67" s="155"/>
      <c r="F67" s="156"/>
      <c r="G67" s="156"/>
      <c r="H67" s="156"/>
      <c r="I67" s="157">
        <v>0</v>
      </c>
      <c r="J67" s="157">
        <v>0</v>
      </c>
      <c r="K67" s="150"/>
      <c r="L67" s="151">
        <v>0</v>
      </c>
      <c r="M67" s="152"/>
      <c r="N67" s="151">
        <v>0</v>
      </c>
      <c r="O67" s="163">
        <f>(tblSalesData94[[#This Row],[Labor income]]+tblSalesData94[[#This Row],[Other expenses]]+tblSalesData94[[#This Row],[Selling price materials]])</f>
        <v>0</v>
      </c>
      <c r="P67" s="163">
        <f>tblSalesData94[[#This Row],[Total price]]-tblSalesData94[[#This Row],[Costs for materials]]</f>
        <v>0</v>
      </c>
      <c r="Q67" s="131"/>
    </row>
    <row r="68" spans="1:17" ht="21" customHeight="1" x14ac:dyDescent="0.3">
      <c r="B68" s="131"/>
      <c r="C68" s="153"/>
      <c r="D68" s="154"/>
      <c r="E68" s="155"/>
      <c r="F68" s="156"/>
      <c r="G68" s="156"/>
      <c r="H68" s="156"/>
      <c r="I68" s="157">
        <v>0</v>
      </c>
      <c r="J68" s="157">
        <v>0</v>
      </c>
      <c r="K68" s="150"/>
      <c r="L68" s="151">
        <v>0</v>
      </c>
      <c r="M68" s="152"/>
      <c r="N68" s="151">
        <v>0</v>
      </c>
      <c r="O68" s="163">
        <f>SUM(tblSalesData94[[#This Row],[Labor income]]+tblSalesData94[[#This Row],[Other expenses]]+tblSalesData94[[#This Row],[Selling price materials]])</f>
        <v>0</v>
      </c>
      <c r="P68" s="163">
        <f>tblSalesData94[[#This Row],[Total price]]-tblSalesData94[[#This Row],[Costs for materials]]</f>
        <v>0</v>
      </c>
      <c r="Q68" s="131"/>
    </row>
    <row r="69" spans="1:17" ht="21" customHeight="1" x14ac:dyDescent="0.3">
      <c r="B69" s="131"/>
      <c r="C69" s="153"/>
      <c r="D69" s="154"/>
      <c r="E69" s="155"/>
      <c r="F69" s="156"/>
      <c r="G69" s="156"/>
      <c r="H69" s="156"/>
      <c r="I69" s="157">
        <v>0</v>
      </c>
      <c r="J69" s="157">
        <v>0</v>
      </c>
      <c r="K69" s="150"/>
      <c r="L69" s="151">
        <v>0</v>
      </c>
      <c r="M69" s="152"/>
      <c r="N69" s="151">
        <v>0</v>
      </c>
      <c r="O69" s="163">
        <f>(tblSalesData94[[#This Row],[Labor income]]+tblSalesData94[[#This Row],[Other expenses]]+tblSalesData94[[#This Row],[Selling price materials]])</f>
        <v>0</v>
      </c>
      <c r="P69" s="163">
        <f>tblSalesData94[[#This Row],[Total price]]-tblSalesData94[[#This Row],[Costs for materials]]</f>
        <v>0</v>
      </c>
      <c r="Q69" s="131"/>
    </row>
    <row r="70" spans="1:17" ht="21" customHeight="1" x14ac:dyDescent="0.3">
      <c r="B70" s="131"/>
      <c r="C70" s="153"/>
      <c r="D70" s="154"/>
      <c r="E70" s="155"/>
      <c r="F70" s="156"/>
      <c r="G70" s="156"/>
      <c r="H70" s="156"/>
      <c r="I70" s="157">
        <v>0</v>
      </c>
      <c r="J70" s="157">
        <v>0</v>
      </c>
      <c r="K70" s="150"/>
      <c r="L70" s="151">
        <v>0</v>
      </c>
      <c r="M70" s="152"/>
      <c r="N70" s="151">
        <v>0</v>
      </c>
      <c r="O70" s="163">
        <f>SUM(tblSalesData94[[#This Row],[Labor income]]+tblSalesData94[[#This Row],[Other expenses]]+tblSalesData94[[#This Row],[Selling price materials]])</f>
        <v>0</v>
      </c>
      <c r="P70" s="163">
        <f>tblSalesData94[[#This Row],[Total price]]-tblSalesData94[[#This Row],[Costs for materials]]</f>
        <v>0</v>
      </c>
      <c r="Q70" s="131"/>
    </row>
    <row r="71" spans="1:17" ht="21" customHeight="1" x14ac:dyDescent="0.3">
      <c r="B71" s="131"/>
      <c r="C71" s="153"/>
      <c r="D71" s="154"/>
      <c r="E71" s="155"/>
      <c r="F71" s="156"/>
      <c r="G71" s="156"/>
      <c r="H71" s="156"/>
      <c r="I71" s="157">
        <v>0</v>
      </c>
      <c r="J71" s="157">
        <v>0</v>
      </c>
      <c r="K71" s="150"/>
      <c r="L71" s="151">
        <v>0</v>
      </c>
      <c r="M71" s="152"/>
      <c r="N71" s="151">
        <v>0</v>
      </c>
      <c r="O71" s="163">
        <f>(tblSalesData94[[#This Row],[Labor income]]+tblSalesData94[[#This Row],[Other expenses]]+tblSalesData94[[#This Row],[Selling price materials]])</f>
        <v>0</v>
      </c>
      <c r="P71" s="163">
        <f>tblSalesData94[[#This Row],[Total price]]-tblSalesData94[[#This Row],[Costs for materials]]</f>
        <v>0</v>
      </c>
      <c r="Q71" s="131"/>
    </row>
    <row r="72" spans="1:17" ht="21" customHeight="1" x14ac:dyDescent="0.3">
      <c r="B72" s="131"/>
      <c r="C72" s="153"/>
      <c r="D72" s="154"/>
      <c r="E72" s="155"/>
      <c r="F72" s="156"/>
      <c r="G72" s="156"/>
      <c r="H72" s="156"/>
      <c r="I72" s="157">
        <v>0</v>
      </c>
      <c r="J72" s="157">
        <v>0</v>
      </c>
      <c r="K72" s="150"/>
      <c r="L72" s="151">
        <v>0</v>
      </c>
      <c r="M72" s="152"/>
      <c r="N72" s="151">
        <v>0</v>
      </c>
      <c r="O72" s="163">
        <f>SUM(tblSalesData94[[#This Row],[Labor income]]+tblSalesData94[[#This Row],[Other expenses]]+tblSalesData94[[#This Row],[Selling price materials]])</f>
        <v>0</v>
      </c>
      <c r="P72" s="163">
        <f>tblSalesData94[[#This Row],[Total price]]-tblSalesData94[[#This Row],[Costs for materials]]</f>
        <v>0</v>
      </c>
      <c r="Q72" s="131"/>
    </row>
    <row r="73" spans="1:17" ht="21" customHeight="1" x14ac:dyDescent="0.3">
      <c r="B73" s="131"/>
      <c r="C73" s="153"/>
      <c r="D73" s="154"/>
      <c r="E73" s="155"/>
      <c r="F73" s="156"/>
      <c r="G73" s="156"/>
      <c r="H73" s="156"/>
      <c r="I73" s="157">
        <v>0</v>
      </c>
      <c r="J73" s="157">
        <v>0</v>
      </c>
      <c r="K73" s="150"/>
      <c r="L73" s="151">
        <v>0</v>
      </c>
      <c r="M73" s="158"/>
      <c r="N73" s="151">
        <v>0</v>
      </c>
      <c r="O73" s="163">
        <f>tblSalesData94[[#This Row],[Labor income]]+tblSalesData94[[#This Row],[Selling price materials]]</f>
        <v>0</v>
      </c>
      <c r="P73" s="163">
        <f>tblSalesData94[[#This Row],[Total price]]-tblSalesData94[[#This Row],[Costs for materials]]</f>
        <v>0</v>
      </c>
      <c r="Q73" s="131"/>
    </row>
    <row r="74" spans="1:17" ht="21" customHeight="1" x14ac:dyDescent="0.3">
      <c r="B74" s="131"/>
      <c r="C74" s="153"/>
      <c r="D74" s="154"/>
      <c r="E74" s="155"/>
      <c r="F74" s="156"/>
      <c r="G74" s="156"/>
      <c r="H74" s="156"/>
      <c r="I74" s="157">
        <v>0</v>
      </c>
      <c r="J74" s="157">
        <v>0</v>
      </c>
      <c r="K74" s="150"/>
      <c r="L74" s="151">
        <v>0</v>
      </c>
      <c r="M74" s="158"/>
      <c r="N74" s="151">
        <v>0</v>
      </c>
      <c r="O74" s="163">
        <f>tblSalesData94[[#This Row],[Labor income]]+tblSalesData94[[#This Row],[Selling price materials]]</f>
        <v>0</v>
      </c>
      <c r="P74" s="163">
        <f>tblSalesData94[[#This Row],[Total price]]-tblSalesData94[[#This Row],[Costs for materials]]</f>
        <v>0</v>
      </c>
      <c r="Q74" s="131"/>
    </row>
    <row r="75" spans="1:17" ht="21" customHeight="1" x14ac:dyDescent="0.3">
      <c r="B75" s="131"/>
      <c r="C75" s="153"/>
      <c r="D75" s="154"/>
      <c r="E75" s="155"/>
      <c r="F75" s="156"/>
      <c r="G75" s="156"/>
      <c r="H75" s="156"/>
      <c r="I75" s="157">
        <v>0</v>
      </c>
      <c r="J75" s="157">
        <v>0</v>
      </c>
      <c r="K75" s="150"/>
      <c r="L75" s="151">
        <v>0</v>
      </c>
      <c r="M75" s="158"/>
      <c r="N75" s="151">
        <v>0</v>
      </c>
      <c r="O75" s="163">
        <f>tblSalesData94[[#This Row],[Labor income]]+tblSalesData94[[#This Row],[Selling price materials]]</f>
        <v>0</v>
      </c>
      <c r="P75" s="163">
        <f>tblSalesData94[[#This Row],[Total price]]-tblSalesData94[[#This Row],[Costs for materials]]</f>
        <v>0</v>
      </c>
      <c r="Q75" s="131"/>
    </row>
    <row r="76" spans="1:17" ht="21" customHeight="1" thickBot="1" x14ac:dyDescent="0.35">
      <c r="B76" s="131"/>
      <c r="C76" s="153"/>
      <c r="D76" s="154"/>
      <c r="E76" s="155"/>
      <c r="F76" s="156"/>
      <c r="G76" s="156"/>
      <c r="H76" s="156"/>
      <c r="I76" s="157">
        <v>0</v>
      </c>
      <c r="J76" s="157">
        <v>0</v>
      </c>
      <c r="K76" s="150"/>
      <c r="L76" s="151">
        <v>0</v>
      </c>
      <c r="M76" s="152"/>
      <c r="N76" s="151">
        <v>0</v>
      </c>
      <c r="O76" s="163">
        <f>(tblSalesData94[[#This Row],[Labor income]]+tblSalesData94[[#This Row],[Other expenses]]+tblSalesData94[[#This Row],[Selling price materials]])</f>
        <v>0</v>
      </c>
      <c r="P76" s="163">
        <f>tblSalesData94[[#This Row],[Total price]]-tblSalesData94[[#This Row],[Costs for materials]]</f>
        <v>0</v>
      </c>
      <c r="Q76" s="131"/>
    </row>
    <row r="77" spans="1:17" ht="21" customHeight="1" thickTop="1" x14ac:dyDescent="0.3">
      <c r="A77" s="130" t="s">
        <v>1</v>
      </c>
      <c r="B77" s="159">
        <f>SUBTOTAL(2,tblSalesData94[No.])</f>
        <v>0</v>
      </c>
      <c r="C77" s="132"/>
      <c r="D77" s="131"/>
      <c r="E77" s="131"/>
      <c r="F77" s="134"/>
      <c r="G77" s="134"/>
      <c r="H77" s="134"/>
      <c r="I77" s="135">
        <f>SUBTOTAL(109,tblSalesData94[Costs for materials])</f>
        <v>0</v>
      </c>
      <c r="J77" s="135">
        <f>SUM(tblSalesData94[Selling price materials])</f>
        <v>0</v>
      </c>
      <c r="K77" s="136">
        <f>SUBTOTAL(109,tblSalesData94[Hours of work])</f>
        <v>0</v>
      </c>
      <c r="L77" s="137">
        <f>SUM(tblSalesData94[Other expenses])</f>
        <v>0</v>
      </c>
      <c r="M77" s="138"/>
      <c r="N77" s="137">
        <f>SUBTOTAL(109,tblSalesData94[Labor income])</f>
        <v>0</v>
      </c>
      <c r="O77" s="259">
        <f>SUBTOTAL(109,tblSalesData94[Total price])</f>
        <v>0</v>
      </c>
      <c r="P77" s="260">
        <f>SUBTOTAL(109,tblSalesData94[Gross Profit])</f>
        <v>0</v>
      </c>
      <c r="Q77" s="131"/>
    </row>
    <row r="78" spans="1:17" ht="21" customHeight="1" x14ac:dyDescent="0.3">
      <c r="A78" s="130"/>
      <c r="B78" s="160"/>
      <c r="C78" s="142" t="s">
        <v>61</v>
      </c>
      <c r="D78" s="131"/>
      <c r="E78" s="131"/>
      <c r="F78" s="134"/>
      <c r="G78" s="134"/>
      <c r="H78" s="134"/>
      <c r="I78" s="135"/>
      <c r="J78" s="135"/>
      <c r="K78" s="136"/>
      <c r="L78" s="137"/>
      <c r="M78" s="138"/>
      <c r="N78" s="137"/>
      <c r="O78" s="164"/>
      <c r="P78" s="165"/>
      <c r="Q78" s="131"/>
    </row>
    <row r="79" spans="1:17" ht="21" customHeight="1" x14ac:dyDescent="0.3">
      <c r="B79" s="144" t="s">
        <v>81</v>
      </c>
      <c r="C79" s="145" t="s">
        <v>0</v>
      </c>
      <c r="D79" s="146" t="s">
        <v>46</v>
      </c>
      <c r="E79" s="147" t="s">
        <v>24</v>
      </c>
      <c r="F79" s="148" t="s">
        <v>3</v>
      </c>
      <c r="G79" s="148" t="s">
        <v>5</v>
      </c>
      <c r="H79" s="148" t="s">
        <v>6</v>
      </c>
      <c r="I79" s="149" t="s">
        <v>41</v>
      </c>
      <c r="J79" s="149" t="s">
        <v>42</v>
      </c>
      <c r="K79" s="150" t="s">
        <v>7</v>
      </c>
      <c r="L79" s="151" t="s">
        <v>8</v>
      </c>
      <c r="M79" s="152" t="s">
        <v>43</v>
      </c>
      <c r="N79" s="151" t="s">
        <v>47</v>
      </c>
      <c r="O79" s="163" t="s">
        <v>29</v>
      </c>
      <c r="P79" s="163" t="s">
        <v>105</v>
      </c>
      <c r="Q79" s="131"/>
    </row>
    <row r="80" spans="1:17" ht="21" customHeight="1" x14ac:dyDescent="0.3">
      <c r="B80" s="131"/>
      <c r="C80" s="153"/>
      <c r="D80" s="154"/>
      <c r="E80" s="155"/>
      <c r="F80" s="156"/>
      <c r="G80" s="156"/>
      <c r="H80" s="156"/>
      <c r="I80" s="157">
        <v>0</v>
      </c>
      <c r="J80" s="157">
        <v>0</v>
      </c>
      <c r="K80" s="150"/>
      <c r="L80" s="151">
        <v>0</v>
      </c>
      <c r="M80" s="152"/>
      <c r="N80" s="151">
        <v>0</v>
      </c>
      <c r="O80" s="163">
        <f>(tblSalesData95[[#This Row],[Labor income]]+tblSalesData95[[#This Row],[Other expenses]]+tblSalesData95[[#This Row],[Selling price materials]])</f>
        <v>0</v>
      </c>
      <c r="P80" s="163">
        <f>tblSalesData95[[#This Row],[Total price]]-tblSalesData95[[#This Row],[Costs for materials]]</f>
        <v>0</v>
      </c>
      <c r="Q80" s="131"/>
    </row>
    <row r="81" spans="1:17" ht="21" customHeight="1" x14ac:dyDescent="0.3">
      <c r="B81" s="131"/>
      <c r="C81" s="153"/>
      <c r="D81" s="154"/>
      <c r="E81" s="155"/>
      <c r="F81" s="156"/>
      <c r="G81" s="156"/>
      <c r="H81" s="156"/>
      <c r="I81" s="157">
        <v>0</v>
      </c>
      <c r="J81" s="157">
        <v>0</v>
      </c>
      <c r="K81" s="150"/>
      <c r="L81" s="151">
        <v>0</v>
      </c>
      <c r="M81" s="152"/>
      <c r="N81" s="151">
        <v>0</v>
      </c>
      <c r="O81" s="163">
        <f>SUM(tblSalesData95[[#This Row],[Labor income]]+tblSalesData95[[#This Row],[Other expenses]]+tblSalesData95[[#This Row],[Selling price materials]])</f>
        <v>0</v>
      </c>
      <c r="P81" s="163">
        <f>tblSalesData95[[#This Row],[Total price]]-tblSalesData95[[#This Row],[Costs for materials]]</f>
        <v>0</v>
      </c>
      <c r="Q81" s="131"/>
    </row>
    <row r="82" spans="1:17" ht="21" customHeight="1" x14ac:dyDescent="0.3">
      <c r="B82" s="131"/>
      <c r="C82" s="153"/>
      <c r="D82" s="154"/>
      <c r="E82" s="155"/>
      <c r="F82" s="156"/>
      <c r="G82" s="156"/>
      <c r="H82" s="156"/>
      <c r="I82" s="157">
        <v>0</v>
      </c>
      <c r="J82" s="157">
        <v>0</v>
      </c>
      <c r="K82" s="150"/>
      <c r="L82" s="151">
        <v>0</v>
      </c>
      <c r="M82" s="152"/>
      <c r="N82" s="151">
        <v>0</v>
      </c>
      <c r="O82" s="163">
        <f>(tblSalesData95[[#This Row],[Labor income]]+tblSalesData95[[#This Row],[Other expenses]]+tblSalesData95[[#This Row],[Selling price materials]])</f>
        <v>0</v>
      </c>
      <c r="P82" s="163">
        <f>tblSalesData95[[#This Row],[Total price]]-tblSalesData95[[#This Row],[Costs for materials]]</f>
        <v>0</v>
      </c>
      <c r="Q82" s="131"/>
    </row>
    <row r="83" spans="1:17" ht="21" customHeight="1" x14ac:dyDescent="0.3">
      <c r="B83" s="131"/>
      <c r="C83" s="153"/>
      <c r="D83" s="154"/>
      <c r="E83" s="155"/>
      <c r="F83" s="156"/>
      <c r="G83" s="156"/>
      <c r="H83" s="156"/>
      <c r="I83" s="157">
        <v>0</v>
      </c>
      <c r="J83" s="157">
        <v>0</v>
      </c>
      <c r="K83" s="150"/>
      <c r="L83" s="151">
        <v>0</v>
      </c>
      <c r="M83" s="152"/>
      <c r="N83" s="151">
        <v>0</v>
      </c>
      <c r="O83" s="163">
        <f>SUM(tblSalesData95[[#This Row],[Labor income]]+tblSalesData95[[#This Row],[Other expenses]]+tblSalesData95[[#This Row],[Selling price materials]])</f>
        <v>0</v>
      </c>
      <c r="P83" s="163">
        <f>tblSalesData95[[#This Row],[Total price]]-tblSalesData95[[#This Row],[Costs for materials]]</f>
        <v>0</v>
      </c>
      <c r="Q83" s="131"/>
    </row>
    <row r="84" spans="1:17" ht="21" customHeight="1" x14ac:dyDescent="0.3">
      <c r="B84" s="131"/>
      <c r="C84" s="153"/>
      <c r="D84" s="154"/>
      <c r="E84" s="155"/>
      <c r="F84" s="156"/>
      <c r="G84" s="156"/>
      <c r="H84" s="156"/>
      <c r="I84" s="157">
        <v>0</v>
      </c>
      <c r="J84" s="157">
        <v>0</v>
      </c>
      <c r="K84" s="150"/>
      <c r="L84" s="151">
        <v>0</v>
      </c>
      <c r="M84" s="152"/>
      <c r="N84" s="151">
        <v>0</v>
      </c>
      <c r="O84" s="163">
        <f>(tblSalesData95[[#This Row],[Labor income]]+tblSalesData95[[#This Row],[Other expenses]]+tblSalesData95[[#This Row],[Selling price materials]])</f>
        <v>0</v>
      </c>
      <c r="P84" s="163">
        <f>tblSalesData95[[#This Row],[Total price]]-tblSalesData95[[#This Row],[Costs for materials]]</f>
        <v>0</v>
      </c>
      <c r="Q84" s="131"/>
    </row>
    <row r="85" spans="1:17" ht="21" customHeight="1" x14ac:dyDescent="0.3">
      <c r="B85" s="131"/>
      <c r="C85" s="153"/>
      <c r="D85" s="154"/>
      <c r="E85" s="155"/>
      <c r="F85" s="156"/>
      <c r="G85" s="156"/>
      <c r="H85" s="156"/>
      <c r="I85" s="157">
        <v>0</v>
      </c>
      <c r="J85" s="157">
        <v>0</v>
      </c>
      <c r="K85" s="150"/>
      <c r="L85" s="151">
        <v>0</v>
      </c>
      <c r="M85" s="152"/>
      <c r="N85" s="151">
        <v>0</v>
      </c>
      <c r="O85" s="163">
        <f>SUM(tblSalesData95[[#This Row],[Labor income]]+tblSalesData95[[#This Row],[Other expenses]]+tblSalesData95[[#This Row],[Selling price materials]])</f>
        <v>0</v>
      </c>
      <c r="P85" s="163">
        <f>tblSalesData95[[#This Row],[Total price]]-tblSalesData95[[#This Row],[Costs for materials]]</f>
        <v>0</v>
      </c>
      <c r="Q85" s="131"/>
    </row>
    <row r="86" spans="1:17" ht="21" customHeight="1" x14ac:dyDescent="0.3">
      <c r="B86" s="131"/>
      <c r="C86" s="153"/>
      <c r="D86" s="154"/>
      <c r="E86" s="155"/>
      <c r="F86" s="156"/>
      <c r="G86" s="156"/>
      <c r="H86" s="156"/>
      <c r="I86" s="157">
        <v>0</v>
      </c>
      <c r="J86" s="157">
        <v>0</v>
      </c>
      <c r="K86" s="150"/>
      <c r="L86" s="151">
        <v>0</v>
      </c>
      <c r="M86" s="158"/>
      <c r="N86" s="151">
        <v>0</v>
      </c>
      <c r="O86" s="163">
        <f>tblSalesData95[[#This Row],[Labor income]]+tblSalesData95[[#This Row],[Selling price materials]]</f>
        <v>0</v>
      </c>
      <c r="P86" s="163">
        <f>tblSalesData95[[#This Row],[Total price]]-tblSalesData95[[#This Row],[Costs for materials]]</f>
        <v>0</v>
      </c>
      <c r="Q86" s="131"/>
    </row>
    <row r="87" spans="1:17" ht="21" customHeight="1" x14ac:dyDescent="0.3">
      <c r="B87" s="131"/>
      <c r="C87" s="153"/>
      <c r="D87" s="154"/>
      <c r="E87" s="155"/>
      <c r="F87" s="156"/>
      <c r="G87" s="156"/>
      <c r="H87" s="156"/>
      <c r="I87" s="157">
        <v>0</v>
      </c>
      <c r="J87" s="157">
        <v>0</v>
      </c>
      <c r="K87" s="150"/>
      <c r="L87" s="151">
        <v>0</v>
      </c>
      <c r="M87" s="158"/>
      <c r="N87" s="151">
        <v>0</v>
      </c>
      <c r="O87" s="163">
        <f>tblSalesData95[[#This Row],[Labor income]]+tblSalesData95[[#This Row],[Selling price materials]]</f>
        <v>0</v>
      </c>
      <c r="P87" s="163">
        <f>tblSalesData95[[#This Row],[Total price]]-tblSalesData95[[#This Row],[Costs for materials]]</f>
        <v>0</v>
      </c>
      <c r="Q87" s="131"/>
    </row>
    <row r="88" spans="1:17" ht="21" customHeight="1" x14ac:dyDescent="0.3">
      <c r="B88" s="131"/>
      <c r="C88" s="153"/>
      <c r="D88" s="154"/>
      <c r="E88" s="155"/>
      <c r="F88" s="156"/>
      <c r="G88" s="156"/>
      <c r="H88" s="156"/>
      <c r="I88" s="157">
        <v>0</v>
      </c>
      <c r="J88" s="157">
        <v>0</v>
      </c>
      <c r="K88" s="150"/>
      <c r="L88" s="151">
        <v>0</v>
      </c>
      <c r="M88" s="158"/>
      <c r="N88" s="151">
        <v>0</v>
      </c>
      <c r="O88" s="163">
        <f>tblSalesData95[[#This Row],[Labor income]]+tblSalesData95[[#This Row],[Selling price materials]]</f>
        <v>0</v>
      </c>
      <c r="P88" s="163">
        <f>tblSalesData95[[#This Row],[Total price]]-tblSalesData95[[#This Row],[Costs for materials]]</f>
        <v>0</v>
      </c>
      <c r="Q88" s="131"/>
    </row>
    <row r="89" spans="1:17" ht="21" customHeight="1" thickBot="1" x14ac:dyDescent="0.35">
      <c r="B89" s="131"/>
      <c r="C89" s="153"/>
      <c r="D89" s="154"/>
      <c r="E89" s="155"/>
      <c r="F89" s="156"/>
      <c r="G89" s="156"/>
      <c r="H89" s="156"/>
      <c r="I89" s="157">
        <v>0</v>
      </c>
      <c r="J89" s="157">
        <v>0</v>
      </c>
      <c r="K89" s="150"/>
      <c r="L89" s="151">
        <v>0</v>
      </c>
      <c r="M89" s="152"/>
      <c r="N89" s="151">
        <v>0</v>
      </c>
      <c r="O89" s="163">
        <f>(tblSalesData95[[#This Row],[Labor income]]+tblSalesData95[[#This Row],[Other expenses]]+tblSalesData95[[#This Row],[Selling price materials]])</f>
        <v>0</v>
      </c>
      <c r="P89" s="163">
        <f>tblSalesData95[[#This Row],[Total price]]-tblSalesData95[[#This Row],[Costs for materials]]</f>
        <v>0</v>
      </c>
      <c r="Q89" s="131"/>
    </row>
    <row r="90" spans="1:17" ht="21" customHeight="1" thickTop="1" x14ac:dyDescent="0.3">
      <c r="A90" s="130" t="s">
        <v>1</v>
      </c>
      <c r="B90" s="159">
        <f>SUBTOTAL(2,tblSalesData95[No.])</f>
        <v>0</v>
      </c>
      <c r="C90" s="132"/>
      <c r="D90" s="131"/>
      <c r="E90" s="131"/>
      <c r="F90" s="134"/>
      <c r="G90" s="134"/>
      <c r="H90" s="134"/>
      <c r="I90" s="135">
        <f>SUBTOTAL(109,tblSalesData95[Costs for materials])</f>
        <v>0</v>
      </c>
      <c r="J90" s="135">
        <f>SUM(tblSalesData95[Selling price materials])</f>
        <v>0</v>
      </c>
      <c r="K90" s="136">
        <f>SUBTOTAL(109,tblSalesData95[Hours of work])</f>
        <v>0</v>
      </c>
      <c r="L90" s="137">
        <f>SUM(tblSalesData95[Other expenses])</f>
        <v>0</v>
      </c>
      <c r="M90" s="138"/>
      <c r="N90" s="137">
        <f>SUBTOTAL(109,tblSalesData95[Labor income])</f>
        <v>0</v>
      </c>
      <c r="O90" s="259">
        <f>SUBTOTAL(109,tblSalesData95[Total price])</f>
        <v>0</v>
      </c>
      <c r="P90" s="260">
        <f>SUBTOTAL(109,tblSalesData95[Gross Profit])</f>
        <v>0</v>
      </c>
      <c r="Q90" s="131"/>
    </row>
    <row r="91" spans="1:17" ht="21" customHeight="1" x14ac:dyDescent="0.3">
      <c r="B91" s="131"/>
      <c r="C91" s="132"/>
      <c r="D91" s="133"/>
      <c r="E91" s="131"/>
      <c r="F91" s="134"/>
      <c r="G91" s="134"/>
      <c r="H91" s="134"/>
      <c r="I91" s="135"/>
      <c r="J91" s="135"/>
      <c r="K91" s="136"/>
      <c r="L91" s="137"/>
      <c r="M91" s="138"/>
      <c r="N91" s="137"/>
      <c r="O91" s="161"/>
      <c r="P91" s="162"/>
      <c r="Q91" s="131"/>
    </row>
    <row r="92" spans="1:17" ht="21" customHeight="1" x14ac:dyDescent="0.3">
      <c r="B92" s="131"/>
      <c r="C92" s="142" t="s">
        <v>62</v>
      </c>
      <c r="D92" s="133"/>
      <c r="E92" s="131"/>
      <c r="F92" s="143"/>
      <c r="G92" s="143"/>
      <c r="H92" s="143"/>
      <c r="I92" s="135"/>
      <c r="J92" s="135"/>
      <c r="K92" s="136"/>
      <c r="L92" s="137"/>
      <c r="M92" s="138"/>
      <c r="N92" s="137"/>
      <c r="O92" s="161"/>
      <c r="P92" s="162"/>
      <c r="Q92" s="131"/>
    </row>
    <row r="93" spans="1:17" ht="21" customHeight="1" x14ac:dyDescent="0.3">
      <c r="B93" s="144" t="s">
        <v>81</v>
      </c>
      <c r="C93" s="145" t="s">
        <v>0</v>
      </c>
      <c r="D93" s="146" t="s">
        <v>46</v>
      </c>
      <c r="E93" s="147" t="s">
        <v>24</v>
      </c>
      <c r="F93" s="148" t="s">
        <v>3</v>
      </c>
      <c r="G93" s="148" t="s">
        <v>5</v>
      </c>
      <c r="H93" s="148" t="s">
        <v>6</v>
      </c>
      <c r="I93" s="149" t="s">
        <v>41</v>
      </c>
      <c r="J93" s="149" t="s">
        <v>42</v>
      </c>
      <c r="K93" s="150" t="s">
        <v>7</v>
      </c>
      <c r="L93" s="151" t="s">
        <v>8</v>
      </c>
      <c r="M93" s="152" t="s">
        <v>43</v>
      </c>
      <c r="N93" s="151" t="s">
        <v>47</v>
      </c>
      <c r="O93" s="163" t="s">
        <v>29</v>
      </c>
      <c r="P93" s="163" t="s">
        <v>105</v>
      </c>
      <c r="Q93" s="131"/>
    </row>
    <row r="94" spans="1:17" ht="21" customHeight="1" x14ac:dyDescent="0.3">
      <c r="B94" s="131"/>
      <c r="C94" s="153"/>
      <c r="D94" s="154"/>
      <c r="E94" s="155"/>
      <c r="F94" s="156"/>
      <c r="G94" s="156"/>
      <c r="H94" s="156"/>
      <c r="I94" s="157">
        <v>0</v>
      </c>
      <c r="J94" s="157">
        <v>0</v>
      </c>
      <c r="K94" s="150"/>
      <c r="L94" s="151">
        <v>0</v>
      </c>
      <c r="M94" s="152"/>
      <c r="N94" s="151">
        <v>0</v>
      </c>
      <c r="O94" s="163">
        <f>(tblSalesData9596[[#This Row],[Labor income]]+tblSalesData9596[[#This Row],[Other expenses]]+tblSalesData9596[[#This Row],[Selling price materials]])</f>
        <v>0</v>
      </c>
      <c r="P94" s="163">
        <f>tblSalesData9596[[#This Row],[Total price]]-tblSalesData9596[[#This Row],[Costs for materials]]</f>
        <v>0</v>
      </c>
      <c r="Q94" s="131"/>
    </row>
    <row r="95" spans="1:17" ht="21" customHeight="1" x14ac:dyDescent="0.3">
      <c r="B95" s="131"/>
      <c r="C95" s="153"/>
      <c r="D95" s="154"/>
      <c r="E95" s="155"/>
      <c r="F95" s="156"/>
      <c r="G95" s="156"/>
      <c r="H95" s="156"/>
      <c r="I95" s="157">
        <v>0</v>
      </c>
      <c r="J95" s="157">
        <v>0</v>
      </c>
      <c r="K95" s="150"/>
      <c r="L95" s="151">
        <v>0</v>
      </c>
      <c r="M95" s="152"/>
      <c r="N95" s="151">
        <v>0</v>
      </c>
      <c r="O95" s="163">
        <f>SUM(tblSalesData9596[[#This Row],[Labor income]]+tblSalesData9596[[#This Row],[Other expenses]]+tblSalesData9596[[#This Row],[Selling price materials]])</f>
        <v>0</v>
      </c>
      <c r="P95" s="163">
        <f>tblSalesData9596[[#This Row],[Total price]]-tblSalesData9596[[#This Row],[Costs for materials]]</f>
        <v>0</v>
      </c>
      <c r="Q95" s="131"/>
    </row>
    <row r="96" spans="1:17" ht="21" customHeight="1" x14ac:dyDescent="0.3">
      <c r="B96" s="131"/>
      <c r="C96" s="153"/>
      <c r="D96" s="154"/>
      <c r="E96" s="155"/>
      <c r="F96" s="156"/>
      <c r="G96" s="156"/>
      <c r="H96" s="156"/>
      <c r="I96" s="157">
        <v>0</v>
      </c>
      <c r="J96" s="157">
        <v>0</v>
      </c>
      <c r="K96" s="150"/>
      <c r="L96" s="151">
        <v>0</v>
      </c>
      <c r="M96" s="152"/>
      <c r="N96" s="151">
        <v>0</v>
      </c>
      <c r="O96" s="163">
        <f>(tblSalesData9596[[#This Row],[Labor income]]+tblSalesData9596[[#This Row],[Other expenses]]+tblSalesData9596[[#This Row],[Selling price materials]])</f>
        <v>0</v>
      </c>
      <c r="P96" s="163">
        <f>tblSalesData9596[[#This Row],[Total price]]-tblSalesData9596[[#This Row],[Costs for materials]]</f>
        <v>0</v>
      </c>
      <c r="Q96" s="131"/>
    </row>
    <row r="97" spans="1:17" ht="21" customHeight="1" x14ac:dyDescent="0.3">
      <c r="B97" s="131"/>
      <c r="C97" s="153"/>
      <c r="D97" s="154"/>
      <c r="E97" s="155"/>
      <c r="F97" s="156"/>
      <c r="G97" s="156"/>
      <c r="H97" s="156"/>
      <c r="I97" s="157">
        <v>0</v>
      </c>
      <c r="J97" s="157">
        <v>0</v>
      </c>
      <c r="K97" s="150"/>
      <c r="L97" s="151">
        <v>0</v>
      </c>
      <c r="M97" s="152"/>
      <c r="N97" s="151">
        <v>0</v>
      </c>
      <c r="O97" s="163">
        <f>SUM(tblSalesData9596[[#This Row],[Labor income]]+tblSalesData9596[[#This Row],[Other expenses]]+tblSalesData9596[[#This Row],[Selling price materials]])</f>
        <v>0</v>
      </c>
      <c r="P97" s="163">
        <f>tblSalesData9596[[#This Row],[Total price]]-tblSalesData9596[[#This Row],[Costs for materials]]</f>
        <v>0</v>
      </c>
      <c r="Q97" s="131"/>
    </row>
    <row r="98" spans="1:17" ht="21" customHeight="1" x14ac:dyDescent="0.3">
      <c r="B98" s="131"/>
      <c r="C98" s="153"/>
      <c r="D98" s="154"/>
      <c r="E98" s="155"/>
      <c r="F98" s="156"/>
      <c r="G98" s="156"/>
      <c r="H98" s="156"/>
      <c r="I98" s="157">
        <v>0</v>
      </c>
      <c r="J98" s="157">
        <v>0</v>
      </c>
      <c r="K98" s="150"/>
      <c r="L98" s="151">
        <v>0</v>
      </c>
      <c r="M98" s="152"/>
      <c r="N98" s="151">
        <v>0</v>
      </c>
      <c r="O98" s="163">
        <f>(tblSalesData9596[[#This Row],[Labor income]]+tblSalesData9596[[#This Row],[Other expenses]]+tblSalesData9596[[#This Row],[Selling price materials]])</f>
        <v>0</v>
      </c>
      <c r="P98" s="163">
        <f>tblSalesData9596[[#This Row],[Total price]]-tblSalesData9596[[#This Row],[Costs for materials]]</f>
        <v>0</v>
      </c>
      <c r="Q98" s="131"/>
    </row>
    <row r="99" spans="1:17" ht="21" customHeight="1" x14ac:dyDescent="0.3">
      <c r="B99" s="131"/>
      <c r="C99" s="153"/>
      <c r="D99" s="154"/>
      <c r="E99" s="155"/>
      <c r="F99" s="156"/>
      <c r="G99" s="156"/>
      <c r="H99" s="156"/>
      <c r="I99" s="157">
        <v>0</v>
      </c>
      <c r="J99" s="157">
        <v>0</v>
      </c>
      <c r="K99" s="150"/>
      <c r="L99" s="151">
        <v>0</v>
      </c>
      <c r="M99" s="152"/>
      <c r="N99" s="151">
        <v>0</v>
      </c>
      <c r="O99" s="163">
        <f>SUM(tblSalesData9596[[#This Row],[Labor income]]+tblSalesData9596[[#This Row],[Other expenses]]+tblSalesData9596[[#This Row],[Selling price materials]])</f>
        <v>0</v>
      </c>
      <c r="P99" s="163">
        <f>tblSalesData9596[[#This Row],[Total price]]-tblSalesData9596[[#This Row],[Costs for materials]]</f>
        <v>0</v>
      </c>
      <c r="Q99" s="131"/>
    </row>
    <row r="100" spans="1:17" ht="21" customHeight="1" x14ac:dyDescent="0.3">
      <c r="B100" s="131"/>
      <c r="C100" s="153"/>
      <c r="D100" s="154"/>
      <c r="E100" s="155"/>
      <c r="F100" s="156"/>
      <c r="G100" s="156"/>
      <c r="H100" s="156"/>
      <c r="I100" s="157">
        <v>0</v>
      </c>
      <c r="J100" s="157">
        <v>0</v>
      </c>
      <c r="K100" s="150"/>
      <c r="L100" s="151">
        <v>0</v>
      </c>
      <c r="M100" s="158"/>
      <c r="N100" s="151">
        <v>0</v>
      </c>
      <c r="O100" s="163">
        <f>tblSalesData9596[[#This Row],[Labor income]]+tblSalesData9596[[#This Row],[Selling price materials]]</f>
        <v>0</v>
      </c>
      <c r="P100" s="163">
        <f>tblSalesData9596[[#This Row],[Total price]]-tblSalesData9596[[#This Row],[Costs for materials]]</f>
        <v>0</v>
      </c>
      <c r="Q100" s="131"/>
    </row>
    <row r="101" spans="1:17" ht="21" customHeight="1" x14ac:dyDescent="0.3">
      <c r="B101" s="131"/>
      <c r="C101" s="153"/>
      <c r="D101" s="154"/>
      <c r="E101" s="155"/>
      <c r="F101" s="156"/>
      <c r="G101" s="156"/>
      <c r="H101" s="156"/>
      <c r="I101" s="157">
        <v>0</v>
      </c>
      <c r="J101" s="157">
        <v>0</v>
      </c>
      <c r="K101" s="150"/>
      <c r="L101" s="151">
        <v>0</v>
      </c>
      <c r="M101" s="158"/>
      <c r="N101" s="151">
        <v>0</v>
      </c>
      <c r="O101" s="163">
        <f>tblSalesData9596[[#This Row],[Labor income]]+tblSalesData9596[[#This Row],[Selling price materials]]</f>
        <v>0</v>
      </c>
      <c r="P101" s="163">
        <f>tblSalesData9596[[#This Row],[Total price]]-tblSalesData9596[[#This Row],[Costs for materials]]</f>
        <v>0</v>
      </c>
      <c r="Q101" s="131"/>
    </row>
    <row r="102" spans="1:17" ht="21" customHeight="1" x14ac:dyDescent="0.3">
      <c r="B102" s="131"/>
      <c r="C102" s="153"/>
      <c r="D102" s="154"/>
      <c r="E102" s="155"/>
      <c r="F102" s="156"/>
      <c r="G102" s="156"/>
      <c r="H102" s="156"/>
      <c r="I102" s="157">
        <v>0</v>
      </c>
      <c r="J102" s="157">
        <v>0</v>
      </c>
      <c r="K102" s="150"/>
      <c r="L102" s="151">
        <v>0</v>
      </c>
      <c r="M102" s="158"/>
      <c r="N102" s="151">
        <v>0</v>
      </c>
      <c r="O102" s="163">
        <f>tblSalesData9596[[#This Row],[Labor income]]+tblSalesData9596[[#This Row],[Selling price materials]]</f>
        <v>0</v>
      </c>
      <c r="P102" s="163">
        <f>tblSalesData9596[[#This Row],[Total price]]-tblSalesData9596[[#This Row],[Costs for materials]]</f>
        <v>0</v>
      </c>
      <c r="Q102" s="131"/>
    </row>
    <row r="103" spans="1:17" ht="21" customHeight="1" thickBot="1" x14ac:dyDescent="0.35">
      <c r="B103" s="131"/>
      <c r="C103" s="153"/>
      <c r="D103" s="154"/>
      <c r="E103" s="155"/>
      <c r="F103" s="156"/>
      <c r="G103" s="156"/>
      <c r="H103" s="156"/>
      <c r="I103" s="157">
        <v>0</v>
      </c>
      <c r="J103" s="157">
        <v>0</v>
      </c>
      <c r="K103" s="150"/>
      <c r="L103" s="151">
        <v>0</v>
      </c>
      <c r="M103" s="152"/>
      <c r="N103" s="151">
        <v>0</v>
      </c>
      <c r="O103" s="163">
        <f>(tblSalesData9596[[#This Row],[Labor income]]+tblSalesData9596[[#This Row],[Other expenses]]+tblSalesData9596[[#This Row],[Selling price materials]])</f>
        <v>0</v>
      </c>
      <c r="P103" s="163">
        <f>tblSalesData9596[[#This Row],[Total price]]-tblSalesData9596[[#This Row],[Costs for materials]]</f>
        <v>0</v>
      </c>
      <c r="Q103" s="131"/>
    </row>
    <row r="104" spans="1:17" ht="21" customHeight="1" thickTop="1" x14ac:dyDescent="0.3">
      <c r="A104" s="130" t="s">
        <v>1</v>
      </c>
      <c r="B104" s="159">
        <f>SUBTOTAL(2,tblSalesData9596[No.])</f>
        <v>0</v>
      </c>
      <c r="C104" s="132"/>
      <c r="D104" s="131"/>
      <c r="E104" s="131"/>
      <c r="F104" s="134"/>
      <c r="G104" s="134"/>
      <c r="H104" s="134"/>
      <c r="I104" s="135">
        <f>SUBTOTAL(109,tblSalesData9596[Costs for materials])</f>
        <v>0</v>
      </c>
      <c r="J104" s="135">
        <f>SUM(tblSalesData9596[Selling price materials])</f>
        <v>0</v>
      </c>
      <c r="K104" s="136">
        <f>SUBTOTAL(109,tblSalesData9596[Hours of work])</f>
        <v>0</v>
      </c>
      <c r="L104" s="137">
        <f>SUM(tblSalesData9596[Other expenses])</f>
        <v>0</v>
      </c>
      <c r="M104" s="138"/>
      <c r="N104" s="137">
        <f>SUBTOTAL(109,tblSalesData9596[Labor income])</f>
        <v>0</v>
      </c>
      <c r="O104" s="259">
        <f>SUBTOTAL(109,tblSalesData9596[Total price])</f>
        <v>0</v>
      </c>
      <c r="P104" s="260">
        <f>SUBTOTAL(109,tblSalesData9596[Gross Profit])</f>
        <v>0</v>
      </c>
      <c r="Q104" s="131"/>
    </row>
    <row r="105" spans="1:17" ht="21" customHeight="1" x14ac:dyDescent="0.3">
      <c r="B105" s="131"/>
      <c r="C105" s="132"/>
      <c r="D105" s="133"/>
      <c r="E105" s="131"/>
      <c r="F105" s="134"/>
      <c r="G105" s="134"/>
      <c r="H105" s="134"/>
      <c r="I105" s="135"/>
      <c r="J105" s="135"/>
      <c r="K105" s="136"/>
      <c r="L105" s="137"/>
      <c r="M105" s="138"/>
      <c r="N105" s="137"/>
      <c r="O105" s="161"/>
      <c r="P105" s="162"/>
      <c r="Q105" s="131"/>
    </row>
    <row r="106" spans="1:17" ht="21" customHeight="1" x14ac:dyDescent="0.3">
      <c r="B106" s="131"/>
      <c r="C106" s="142" t="s">
        <v>63</v>
      </c>
      <c r="D106" s="133"/>
      <c r="E106" s="131"/>
      <c r="F106" s="143"/>
      <c r="G106" s="143"/>
      <c r="H106" s="143"/>
      <c r="I106" s="135"/>
      <c r="J106" s="135"/>
      <c r="K106" s="136"/>
      <c r="L106" s="137"/>
      <c r="M106" s="138"/>
      <c r="N106" s="137"/>
      <c r="O106" s="161"/>
      <c r="P106" s="162"/>
      <c r="Q106" s="131"/>
    </row>
    <row r="107" spans="1:17" ht="21" customHeight="1" x14ac:dyDescent="0.3">
      <c r="B107" s="144" t="s">
        <v>81</v>
      </c>
      <c r="C107" s="145" t="s">
        <v>0</v>
      </c>
      <c r="D107" s="146" t="s">
        <v>46</v>
      </c>
      <c r="E107" s="147" t="s">
        <v>24</v>
      </c>
      <c r="F107" s="148" t="s">
        <v>3</v>
      </c>
      <c r="G107" s="148" t="s">
        <v>5</v>
      </c>
      <c r="H107" s="148" t="s">
        <v>6</v>
      </c>
      <c r="I107" s="149" t="s">
        <v>41</v>
      </c>
      <c r="J107" s="149" t="s">
        <v>42</v>
      </c>
      <c r="K107" s="150" t="s">
        <v>7</v>
      </c>
      <c r="L107" s="151" t="s">
        <v>8</v>
      </c>
      <c r="M107" s="152" t="s">
        <v>43</v>
      </c>
      <c r="N107" s="151" t="s">
        <v>47</v>
      </c>
      <c r="O107" s="163" t="s">
        <v>29</v>
      </c>
      <c r="P107" s="163" t="s">
        <v>105</v>
      </c>
      <c r="Q107" s="131"/>
    </row>
    <row r="108" spans="1:17" ht="21" customHeight="1" x14ac:dyDescent="0.3">
      <c r="B108" s="131"/>
      <c r="C108" s="153"/>
      <c r="D108" s="154"/>
      <c r="E108" s="155"/>
      <c r="F108" s="156"/>
      <c r="G108" s="156"/>
      <c r="H108" s="156"/>
      <c r="I108" s="157">
        <v>0</v>
      </c>
      <c r="J108" s="157">
        <v>0</v>
      </c>
      <c r="K108" s="150"/>
      <c r="L108" s="151">
        <v>0</v>
      </c>
      <c r="M108" s="152"/>
      <c r="N108" s="151">
        <v>0</v>
      </c>
      <c r="O108" s="163">
        <f>(tblSalesData959697[[#This Row],[Labor income]]+tblSalesData959697[[#This Row],[Other expenses]]+tblSalesData959697[[#This Row],[Selling price materials]])</f>
        <v>0</v>
      </c>
      <c r="P108" s="163">
        <f>tblSalesData959697[[#This Row],[Total price]]-tblSalesData959697[[#This Row],[Costs for materials]]</f>
        <v>0</v>
      </c>
      <c r="Q108" s="131"/>
    </row>
    <row r="109" spans="1:17" ht="21" customHeight="1" x14ac:dyDescent="0.3">
      <c r="B109" s="131"/>
      <c r="C109" s="153"/>
      <c r="D109" s="154"/>
      <c r="E109" s="155"/>
      <c r="F109" s="156"/>
      <c r="G109" s="156"/>
      <c r="H109" s="156"/>
      <c r="I109" s="157">
        <v>0</v>
      </c>
      <c r="J109" s="157">
        <v>0</v>
      </c>
      <c r="K109" s="150"/>
      <c r="L109" s="151">
        <v>0</v>
      </c>
      <c r="M109" s="152"/>
      <c r="N109" s="151">
        <v>0</v>
      </c>
      <c r="O109" s="163">
        <f>SUM(tblSalesData959697[[#This Row],[Labor income]]+tblSalesData959697[[#This Row],[Other expenses]]+tblSalesData959697[[#This Row],[Selling price materials]])</f>
        <v>0</v>
      </c>
      <c r="P109" s="163">
        <f>tblSalesData959697[[#This Row],[Total price]]-tblSalesData959697[[#This Row],[Costs for materials]]</f>
        <v>0</v>
      </c>
      <c r="Q109" s="131"/>
    </row>
    <row r="110" spans="1:17" ht="21" customHeight="1" x14ac:dyDescent="0.3">
      <c r="B110" s="131"/>
      <c r="C110" s="153"/>
      <c r="D110" s="154"/>
      <c r="E110" s="155"/>
      <c r="F110" s="156"/>
      <c r="G110" s="156"/>
      <c r="H110" s="156"/>
      <c r="I110" s="157">
        <v>0</v>
      </c>
      <c r="J110" s="157">
        <v>0</v>
      </c>
      <c r="K110" s="150"/>
      <c r="L110" s="151">
        <v>0</v>
      </c>
      <c r="M110" s="152"/>
      <c r="N110" s="151">
        <v>0</v>
      </c>
      <c r="O110" s="163">
        <f>(tblSalesData959697[[#This Row],[Labor income]]+tblSalesData959697[[#This Row],[Other expenses]]+tblSalesData959697[[#This Row],[Selling price materials]])</f>
        <v>0</v>
      </c>
      <c r="P110" s="163">
        <f>tblSalesData959697[[#This Row],[Total price]]-tblSalesData959697[[#This Row],[Costs for materials]]</f>
        <v>0</v>
      </c>
      <c r="Q110" s="131"/>
    </row>
    <row r="111" spans="1:17" ht="21" customHeight="1" x14ac:dyDescent="0.3">
      <c r="B111" s="131"/>
      <c r="C111" s="153"/>
      <c r="D111" s="154"/>
      <c r="E111" s="155"/>
      <c r="F111" s="156"/>
      <c r="G111" s="156"/>
      <c r="H111" s="156"/>
      <c r="I111" s="157">
        <v>0</v>
      </c>
      <c r="J111" s="157">
        <v>0</v>
      </c>
      <c r="K111" s="150"/>
      <c r="L111" s="151">
        <v>0</v>
      </c>
      <c r="M111" s="152"/>
      <c r="N111" s="151">
        <v>0</v>
      </c>
      <c r="O111" s="163">
        <f>SUM(tblSalesData959697[[#This Row],[Labor income]]+tblSalesData959697[[#This Row],[Other expenses]]+tblSalesData959697[[#This Row],[Selling price materials]])</f>
        <v>0</v>
      </c>
      <c r="P111" s="163">
        <f>tblSalesData959697[[#This Row],[Total price]]-tblSalesData959697[[#This Row],[Costs for materials]]</f>
        <v>0</v>
      </c>
      <c r="Q111" s="131"/>
    </row>
    <row r="112" spans="1:17" ht="21" customHeight="1" x14ac:dyDescent="0.3">
      <c r="B112" s="131"/>
      <c r="C112" s="153"/>
      <c r="D112" s="154"/>
      <c r="E112" s="155"/>
      <c r="F112" s="156"/>
      <c r="G112" s="156"/>
      <c r="H112" s="156"/>
      <c r="I112" s="157">
        <v>0</v>
      </c>
      <c r="J112" s="157">
        <v>0</v>
      </c>
      <c r="K112" s="150"/>
      <c r="L112" s="151">
        <v>0</v>
      </c>
      <c r="M112" s="152"/>
      <c r="N112" s="151">
        <v>0</v>
      </c>
      <c r="O112" s="163">
        <f>(tblSalesData959697[[#This Row],[Labor income]]+tblSalesData959697[[#This Row],[Other expenses]]+tblSalesData959697[[#This Row],[Selling price materials]])</f>
        <v>0</v>
      </c>
      <c r="P112" s="163">
        <f>tblSalesData959697[[#This Row],[Total price]]-tblSalesData959697[[#This Row],[Costs for materials]]</f>
        <v>0</v>
      </c>
      <c r="Q112" s="131"/>
    </row>
    <row r="113" spans="1:17" ht="21" customHeight="1" x14ac:dyDescent="0.3">
      <c r="B113" s="131"/>
      <c r="C113" s="153"/>
      <c r="D113" s="154"/>
      <c r="E113" s="155"/>
      <c r="F113" s="156"/>
      <c r="G113" s="156"/>
      <c r="H113" s="156"/>
      <c r="I113" s="157">
        <v>0</v>
      </c>
      <c r="J113" s="157">
        <v>0</v>
      </c>
      <c r="K113" s="150"/>
      <c r="L113" s="151">
        <v>0</v>
      </c>
      <c r="M113" s="152"/>
      <c r="N113" s="151">
        <v>0</v>
      </c>
      <c r="O113" s="163">
        <f>SUM(tblSalesData959697[[#This Row],[Labor income]]+tblSalesData959697[[#This Row],[Other expenses]]+tblSalesData959697[[#This Row],[Selling price materials]])</f>
        <v>0</v>
      </c>
      <c r="P113" s="163">
        <f>tblSalesData959697[[#This Row],[Total price]]-tblSalesData959697[[#This Row],[Costs for materials]]</f>
        <v>0</v>
      </c>
      <c r="Q113" s="131"/>
    </row>
    <row r="114" spans="1:17" ht="21" customHeight="1" x14ac:dyDescent="0.3">
      <c r="B114" s="131"/>
      <c r="C114" s="153"/>
      <c r="D114" s="154"/>
      <c r="E114" s="155"/>
      <c r="F114" s="156"/>
      <c r="G114" s="156"/>
      <c r="H114" s="156"/>
      <c r="I114" s="157">
        <v>0</v>
      </c>
      <c r="J114" s="157">
        <v>0</v>
      </c>
      <c r="K114" s="150"/>
      <c r="L114" s="151">
        <v>0</v>
      </c>
      <c r="M114" s="158"/>
      <c r="N114" s="151">
        <v>0</v>
      </c>
      <c r="O114" s="163">
        <f>tblSalesData959697[[#This Row],[Labor income]]+tblSalesData959697[[#This Row],[Selling price materials]]</f>
        <v>0</v>
      </c>
      <c r="P114" s="163">
        <f>tblSalesData959697[[#This Row],[Total price]]-tblSalesData959697[[#This Row],[Costs for materials]]</f>
        <v>0</v>
      </c>
      <c r="Q114" s="131"/>
    </row>
    <row r="115" spans="1:17" ht="21" customHeight="1" x14ac:dyDescent="0.3">
      <c r="B115" s="131"/>
      <c r="C115" s="153"/>
      <c r="D115" s="154"/>
      <c r="E115" s="155"/>
      <c r="F115" s="156"/>
      <c r="G115" s="156"/>
      <c r="H115" s="156"/>
      <c r="I115" s="157">
        <v>0</v>
      </c>
      <c r="J115" s="157">
        <v>0</v>
      </c>
      <c r="K115" s="150"/>
      <c r="L115" s="151">
        <v>0</v>
      </c>
      <c r="M115" s="158"/>
      <c r="N115" s="151">
        <v>0</v>
      </c>
      <c r="O115" s="163">
        <f>tblSalesData959697[[#This Row],[Labor income]]+tblSalesData959697[[#This Row],[Selling price materials]]</f>
        <v>0</v>
      </c>
      <c r="P115" s="163">
        <f>tblSalesData959697[[#This Row],[Total price]]-tblSalesData959697[[#This Row],[Costs for materials]]</f>
        <v>0</v>
      </c>
      <c r="Q115" s="131"/>
    </row>
    <row r="116" spans="1:17" ht="21" customHeight="1" x14ac:dyDescent="0.3">
      <c r="B116" s="131"/>
      <c r="C116" s="153"/>
      <c r="D116" s="154"/>
      <c r="E116" s="155"/>
      <c r="F116" s="156"/>
      <c r="G116" s="156"/>
      <c r="H116" s="156"/>
      <c r="I116" s="157">
        <v>0</v>
      </c>
      <c r="J116" s="157">
        <v>0</v>
      </c>
      <c r="K116" s="150"/>
      <c r="L116" s="151">
        <v>0</v>
      </c>
      <c r="M116" s="158"/>
      <c r="N116" s="151">
        <v>0</v>
      </c>
      <c r="O116" s="163">
        <f>tblSalesData959697[[#This Row],[Labor income]]+tblSalesData959697[[#This Row],[Selling price materials]]</f>
        <v>0</v>
      </c>
      <c r="P116" s="163">
        <f>tblSalesData959697[[#This Row],[Total price]]-tblSalesData959697[[#This Row],[Costs for materials]]</f>
        <v>0</v>
      </c>
      <c r="Q116" s="131"/>
    </row>
    <row r="117" spans="1:17" ht="21" customHeight="1" thickBot="1" x14ac:dyDescent="0.35">
      <c r="B117" s="131"/>
      <c r="C117" s="153"/>
      <c r="D117" s="154"/>
      <c r="E117" s="155"/>
      <c r="F117" s="156"/>
      <c r="G117" s="156"/>
      <c r="H117" s="156"/>
      <c r="I117" s="157">
        <v>0</v>
      </c>
      <c r="J117" s="157">
        <v>0</v>
      </c>
      <c r="K117" s="150"/>
      <c r="L117" s="151">
        <v>0</v>
      </c>
      <c r="M117" s="152"/>
      <c r="N117" s="151">
        <v>0</v>
      </c>
      <c r="O117" s="163">
        <f>(tblSalesData959697[[#This Row],[Labor income]]+tblSalesData959697[[#This Row],[Other expenses]]+tblSalesData959697[[#This Row],[Selling price materials]])</f>
        <v>0</v>
      </c>
      <c r="P117" s="163">
        <f>tblSalesData959697[[#This Row],[Total price]]-tblSalesData959697[[#This Row],[Costs for materials]]</f>
        <v>0</v>
      </c>
      <c r="Q117" s="131"/>
    </row>
    <row r="118" spans="1:17" ht="21" customHeight="1" thickTop="1" x14ac:dyDescent="0.3">
      <c r="A118" s="130" t="s">
        <v>1</v>
      </c>
      <c r="B118" s="159">
        <f>SUBTOTAL(2,tblSalesData959697[No.])</f>
        <v>0</v>
      </c>
      <c r="C118" s="132"/>
      <c r="D118" s="131"/>
      <c r="E118" s="131"/>
      <c r="F118" s="134"/>
      <c r="G118" s="134"/>
      <c r="H118" s="134"/>
      <c r="I118" s="135">
        <f>SUBTOTAL(109,tblSalesData959697[Costs for materials])</f>
        <v>0</v>
      </c>
      <c r="J118" s="135">
        <f>SUM(tblSalesData959697[Selling price materials])</f>
        <v>0</v>
      </c>
      <c r="K118" s="136">
        <f>SUBTOTAL(109,tblSalesData959697[Hours of work])</f>
        <v>0</v>
      </c>
      <c r="L118" s="137">
        <f>SUM(tblSalesData959697[Other expenses])</f>
        <v>0</v>
      </c>
      <c r="M118" s="138"/>
      <c r="N118" s="137">
        <f>SUBTOTAL(109,tblSalesData959697[Labor income])</f>
        <v>0</v>
      </c>
      <c r="O118" s="259">
        <f>SUBTOTAL(109,tblSalesData959697[Total price])</f>
        <v>0</v>
      </c>
      <c r="P118" s="260">
        <f>SUBTOTAL(109,tblSalesData959697[Gross Profit])</f>
        <v>0</v>
      </c>
      <c r="Q118" s="131"/>
    </row>
    <row r="119" spans="1:17" ht="21" customHeight="1" x14ac:dyDescent="0.3">
      <c r="B119" s="131"/>
      <c r="C119" s="132"/>
      <c r="D119" s="133"/>
      <c r="E119" s="131"/>
      <c r="F119" s="134"/>
      <c r="G119" s="134"/>
      <c r="H119" s="134"/>
      <c r="I119" s="135"/>
      <c r="J119" s="135"/>
      <c r="K119" s="136"/>
      <c r="L119" s="137"/>
      <c r="M119" s="138"/>
      <c r="N119" s="137"/>
      <c r="O119" s="161"/>
      <c r="P119" s="162"/>
      <c r="Q119" s="131"/>
    </row>
    <row r="120" spans="1:17" ht="21" customHeight="1" x14ac:dyDescent="0.3">
      <c r="B120" s="131"/>
      <c r="C120" s="142" t="s">
        <v>64</v>
      </c>
      <c r="D120" s="133"/>
      <c r="E120" s="131"/>
      <c r="F120" s="134"/>
      <c r="G120" s="134"/>
      <c r="H120" s="134"/>
      <c r="I120" s="135"/>
      <c r="J120" s="135"/>
      <c r="K120" s="136"/>
      <c r="L120" s="137"/>
      <c r="M120" s="138"/>
      <c r="N120" s="137"/>
      <c r="O120" s="161"/>
      <c r="P120" s="162"/>
      <c r="Q120" s="131"/>
    </row>
    <row r="121" spans="1:17" ht="21" customHeight="1" x14ac:dyDescent="0.3">
      <c r="B121" s="144" t="s">
        <v>81</v>
      </c>
      <c r="C121" s="145" t="s">
        <v>0</v>
      </c>
      <c r="D121" s="146" t="s">
        <v>46</v>
      </c>
      <c r="E121" s="147" t="s">
        <v>24</v>
      </c>
      <c r="F121" s="148" t="s">
        <v>3</v>
      </c>
      <c r="G121" s="148" t="s">
        <v>5</v>
      </c>
      <c r="H121" s="148" t="s">
        <v>6</v>
      </c>
      <c r="I121" s="149" t="s">
        <v>41</v>
      </c>
      <c r="J121" s="149" t="s">
        <v>42</v>
      </c>
      <c r="K121" s="150" t="s">
        <v>7</v>
      </c>
      <c r="L121" s="151" t="s">
        <v>8</v>
      </c>
      <c r="M121" s="152" t="s">
        <v>43</v>
      </c>
      <c r="N121" s="151" t="s">
        <v>47</v>
      </c>
      <c r="O121" s="163" t="s">
        <v>29</v>
      </c>
      <c r="P121" s="163" t="s">
        <v>105</v>
      </c>
      <c r="Q121" s="131"/>
    </row>
    <row r="122" spans="1:17" ht="21" customHeight="1" x14ac:dyDescent="0.3">
      <c r="B122" s="131"/>
      <c r="C122" s="153"/>
      <c r="D122" s="154"/>
      <c r="E122" s="155"/>
      <c r="F122" s="156"/>
      <c r="G122" s="156"/>
      <c r="H122" s="156"/>
      <c r="I122" s="157">
        <v>0</v>
      </c>
      <c r="J122" s="157">
        <v>0</v>
      </c>
      <c r="K122" s="150"/>
      <c r="L122" s="151">
        <v>0</v>
      </c>
      <c r="M122" s="152"/>
      <c r="N122" s="151">
        <v>0</v>
      </c>
      <c r="O122" s="163">
        <f>(tblSalesData959698[[#This Row],[Labor income]]+tblSalesData959698[[#This Row],[Other expenses]]+tblSalesData959698[[#This Row],[Selling price materials]])</f>
        <v>0</v>
      </c>
      <c r="P122" s="163">
        <f>tblSalesData959698[[#This Row],[Total price]]-tblSalesData959698[[#This Row],[Costs for materials]]</f>
        <v>0</v>
      </c>
      <c r="Q122" s="131"/>
    </row>
    <row r="123" spans="1:17" ht="21" customHeight="1" x14ac:dyDescent="0.3">
      <c r="B123" s="131"/>
      <c r="C123" s="153"/>
      <c r="D123" s="154"/>
      <c r="E123" s="155"/>
      <c r="F123" s="156"/>
      <c r="G123" s="156"/>
      <c r="H123" s="156"/>
      <c r="I123" s="157">
        <v>0</v>
      </c>
      <c r="J123" s="157">
        <v>0</v>
      </c>
      <c r="K123" s="150"/>
      <c r="L123" s="151">
        <v>0</v>
      </c>
      <c r="M123" s="152"/>
      <c r="N123" s="151">
        <v>0</v>
      </c>
      <c r="O123" s="163">
        <f>SUM(tblSalesData959698[[#This Row],[Labor income]]+tblSalesData959698[[#This Row],[Other expenses]]+tblSalesData959698[[#This Row],[Selling price materials]])</f>
        <v>0</v>
      </c>
      <c r="P123" s="163">
        <f>tblSalesData959698[[#This Row],[Total price]]-tblSalesData959698[[#This Row],[Costs for materials]]</f>
        <v>0</v>
      </c>
      <c r="Q123" s="131"/>
    </row>
    <row r="124" spans="1:17" ht="21" customHeight="1" x14ac:dyDescent="0.3">
      <c r="B124" s="131"/>
      <c r="C124" s="153"/>
      <c r="D124" s="154"/>
      <c r="E124" s="155"/>
      <c r="F124" s="156"/>
      <c r="G124" s="156"/>
      <c r="H124" s="156"/>
      <c r="I124" s="157">
        <v>0</v>
      </c>
      <c r="J124" s="157">
        <v>0</v>
      </c>
      <c r="K124" s="150"/>
      <c r="L124" s="151">
        <v>0</v>
      </c>
      <c r="M124" s="152"/>
      <c r="N124" s="151">
        <v>0</v>
      </c>
      <c r="O124" s="163">
        <f>(tblSalesData959698[[#This Row],[Labor income]]+tblSalesData959698[[#This Row],[Other expenses]]+tblSalesData959698[[#This Row],[Selling price materials]])</f>
        <v>0</v>
      </c>
      <c r="P124" s="163">
        <f>tblSalesData959698[[#This Row],[Total price]]-tblSalesData959698[[#This Row],[Costs for materials]]</f>
        <v>0</v>
      </c>
      <c r="Q124" s="131"/>
    </row>
    <row r="125" spans="1:17" ht="21" customHeight="1" x14ac:dyDescent="0.3">
      <c r="B125" s="131"/>
      <c r="C125" s="153"/>
      <c r="D125" s="154"/>
      <c r="E125" s="155"/>
      <c r="F125" s="156"/>
      <c r="G125" s="156"/>
      <c r="H125" s="156"/>
      <c r="I125" s="157">
        <v>0</v>
      </c>
      <c r="J125" s="157">
        <v>0</v>
      </c>
      <c r="K125" s="150"/>
      <c r="L125" s="151">
        <v>0</v>
      </c>
      <c r="M125" s="152"/>
      <c r="N125" s="151">
        <v>0</v>
      </c>
      <c r="O125" s="163">
        <f>SUM(tblSalesData959698[[#This Row],[Labor income]]+tblSalesData959698[[#This Row],[Other expenses]]+tblSalesData959698[[#This Row],[Selling price materials]])</f>
        <v>0</v>
      </c>
      <c r="P125" s="163">
        <f>tblSalesData959698[[#This Row],[Total price]]-tblSalesData959698[[#This Row],[Costs for materials]]</f>
        <v>0</v>
      </c>
      <c r="Q125" s="131"/>
    </row>
    <row r="126" spans="1:17" ht="21" customHeight="1" x14ac:dyDescent="0.3">
      <c r="B126" s="131"/>
      <c r="C126" s="153"/>
      <c r="D126" s="154"/>
      <c r="E126" s="155"/>
      <c r="F126" s="156"/>
      <c r="G126" s="156"/>
      <c r="H126" s="156"/>
      <c r="I126" s="157">
        <v>0</v>
      </c>
      <c r="J126" s="157">
        <v>0</v>
      </c>
      <c r="K126" s="150"/>
      <c r="L126" s="151">
        <v>0</v>
      </c>
      <c r="M126" s="152"/>
      <c r="N126" s="151">
        <v>0</v>
      </c>
      <c r="O126" s="163">
        <f>(tblSalesData959698[[#This Row],[Labor income]]+tblSalesData959698[[#This Row],[Other expenses]]+tblSalesData959698[[#This Row],[Selling price materials]])</f>
        <v>0</v>
      </c>
      <c r="P126" s="163">
        <f>tblSalesData959698[[#This Row],[Total price]]-tblSalesData959698[[#This Row],[Costs for materials]]</f>
        <v>0</v>
      </c>
      <c r="Q126" s="131"/>
    </row>
    <row r="127" spans="1:17" ht="21" customHeight="1" x14ac:dyDescent="0.3">
      <c r="B127" s="131"/>
      <c r="C127" s="153"/>
      <c r="D127" s="154"/>
      <c r="E127" s="155"/>
      <c r="F127" s="156"/>
      <c r="G127" s="156"/>
      <c r="H127" s="156"/>
      <c r="I127" s="157">
        <v>0</v>
      </c>
      <c r="J127" s="157">
        <v>0</v>
      </c>
      <c r="K127" s="150"/>
      <c r="L127" s="151">
        <v>0</v>
      </c>
      <c r="M127" s="152"/>
      <c r="N127" s="151">
        <v>0</v>
      </c>
      <c r="O127" s="163">
        <f>SUM(tblSalesData959698[[#This Row],[Labor income]]+tblSalesData959698[[#This Row],[Other expenses]]+tblSalesData959698[[#This Row],[Selling price materials]])</f>
        <v>0</v>
      </c>
      <c r="P127" s="163">
        <f>tblSalesData959698[[#This Row],[Total price]]-tblSalesData959698[[#This Row],[Costs for materials]]</f>
        <v>0</v>
      </c>
      <c r="Q127" s="131"/>
    </row>
    <row r="128" spans="1:17" ht="21" customHeight="1" x14ac:dyDescent="0.3">
      <c r="B128" s="131"/>
      <c r="C128" s="153"/>
      <c r="D128" s="154"/>
      <c r="E128" s="155"/>
      <c r="F128" s="156"/>
      <c r="G128" s="156"/>
      <c r="H128" s="156"/>
      <c r="I128" s="157">
        <v>0</v>
      </c>
      <c r="J128" s="157">
        <v>0</v>
      </c>
      <c r="K128" s="150"/>
      <c r="L128" s="151">
        <v>0</v>
      </c>
      <c r="M128" s="158"/>
      <c r="N128" s="151">
        <v>0</v>
      </c>
      <c r="O128" s="163">
        <f>tblSalesData959698[[#This Row],[Labor income]]+tblSalesData959698[[#This Row],[Selling price materials]]</f>
        <v>0</v>
      </c>
      <c r="P128" s="163">
        <f>tblSalesData959698[[#This Row],[Total price]]-tblSalesData959698[[#This Row],[Costs for materials]]</f>
        <v>0</v>
      </c>
      <c r="Q128" s="131"/>
    </row>
    <row r="129" spans="1:17" ht="21" customHeight="1" x14ac:dyDescent="0.3">
      <c r="B129" s="131"/>
      <c r="C129" s="153"/>
      <c r="D129" s="154"/>
      <c r="E129" s="155"/>
      <c r="F129" s="156"/>
      <c r="G129" s="156"/>
      <c r="H129" s="156"/>
      <c r="I129" s="157">
        <v>0</v>
      </c>
      <c r="J129" s="157">
        <v>0</v>
      </c>
      <c r="K129" s="150"/>
      <c r="L129" s="151">
        <v>0</v>
      </c>
      <c r="M129" s="158"/>
      <c r="N129" s="151">
        <v>0</v>
      </c>
      <c r="O129" s="163">
        <f>tblSalesData959698[[#This Row],[Labor income]]+tblSalesData959698[[#This Row],[Selling price materials]]</f>
        <v>0</v>
      </c>
      <c r="P129" s="163">
        <f>tblSalesData959698[[#This Row],[Total price]]-tblSalesData959698[[#This Row],[Costs for materials]]</f>
        <v>0</v>
      </c>
      <c r="Q129" s="131"/>
    </row>
    <row r="130" spans="1:17" ht="21" customHeight="1" x14ac:dyDescent="0.3">
      <c r="B130" s="131"/>
      <c r="C130" s="153"/>
      <c r="D130" s="154"/>
      <c r="E130" s="155"/>
      <c r="F130" s="156"/>
      <c r="G130" s="156"/>
      <c r="H130" s="156"/>
      <c r="I130" s="157">
        <v>0</v>
      </c>
      <c r="J130" s="157">
        <v>0</v>
      </c>
      <c r="K130" s="150"/>
      <c r="L130" s="151">
        <v>0</v>
      </c>
      <c r="M130" s="158"/>
      <c r="N130" s="151">
        <v>0</v>
      </c>
      <c r="O130" s="163">
        <f>tblSalesData959698[[#This Row],[Labor income]]+tblSalesData959698[[#This Row],[Selling price materials]]</f>
        <v>0</v>
      </c>
      <c r="P130" s="163">
        <f>tblSalesData959698[[#This Row],[Total price]]-tblSalesData959698[[#This Row],[Costs for materials]]</f>
        <v>0</v>
      </c>
      <c r="Q130" s="131"/>
    </row>
    <row r="131" spans="1:17" ht="21" customHeight="1" thickBot="1" x14ac:dyDescent="0.35">
      <c r="B131" s="131"/>
      <c r="C131" s="153"/>
      <c r="D131" s="154"/>
      <c r="E131" s="155"/>
      <c r="F131" s="156"/>
      <c r="G131" s="156"/>
      <c r="H131" s="156"/>
      <c r="I131" s="157">
        <v>0</v>
      </c>
      <c r="J131" s="157">
        <v>0</v>
      </c>
      <c r="K131" s="150"/>
      <c r="L131" s="151">
        <v>0</v>
      </c>
      <c r="M131" s="152"/>
      <c r="N131" s="151">
        <v>0</v>
      </c>
      <c r="O131" s="163">
        <f>(tblSalesData959698[[#This Row],[Labor income]]+tblSalesData959698[[#This Row],[Other expenses]]+tblSalesData959698[[#This Row],[Selling price materials]])</f>
        <v>0</v>
      </c>
      <c r="P131" s="163">
        <f>tblSalesData959698[[#This Row],[Total price]]-tblSalesData959698[[#This Row],[Costs for materials]]</f>
        <v>0</v>
      </c>
      <c r="Q131" s="131"/>
    </row>
    <row r="132" spans="1:17" ht="21" customHeight="1" thickTop="1" x14ac:dyDescent="0.3">
      <c r="A132" s="130" t="s">
        <v>1</v>
      </c>
      <c r="B132" s="159">
        <f>SUBTOTAL(2,tblSalesData959698[No.])</f>
        <v>0</v>
      </c>
      <c r="C132" s="132"/>
      <c r="D132" s="131"/>
      <c r="E132" s="131"/>
      <c r="F132" s="134"/>
      <c r="G132" s="134"/>
      <c r="H132" s="134"/>
      <c r="I132" s="135">
        <f>SUBTOTAL(109,tblSalesData959698[Costs for materials])</f>
        <v>0</v>
      </c>
      <c r="J132" s="135">
        <f>SUM(tblSalesData959698[Selling price materials])</f>
        <v>0</v>
      </c>
      <c r="K132" s="136">
        <f>SUBTOTAL(109,tblSalesData959698[Hours of work])</f>
        <v>0</v>
      </c>
      <c r="L132" s="137">
        <f>SUM(tblSalesData959698[Other expenses])</f>
        <v>0</v>
      </c>
      <c r="M132" s="138"/>
      <c r="N132" s="137">
        <f>SUBTOTAL(109,tblSalesData959698[Labor income])</f>
        <v>0</v>
      </c>
      <c r="O132" s="259">
        <f>SUBTOTAL(109,tblSalesData959698[Total price])</f>
        <v>0</v>
      </c>
      <c r="P132" s="260">
        <f>SUBTOTAL(109,tblSalesData959698[Gross Profit])</f>
        <v>0</v>
      </c>
      <c r="Q132" s="131"/>
    </row>
    <row r="133" spans="1:17" ht="21" customHeight="1" x14ac:dyDescent="0.3">
      <c r="B133" s="131"/>
      <c r="C133" s="132"/>
      <c r="D133" s="133"/>
      <c r="E133" s="131"/>
      <c r="F133" s="134"/>
      <c r="G133" s="134"/>
      <c r="H133" s="134"/>
      <c r="I133" s="135"/>
      <c r="J133" s="135"/>
      <c r="K133" s="136"/>
      <c r="L133" s="137"/>
      <c r="M133" s="138"/>
      <c r="N133" s="137"/>
      <c r="O133" s="161"/>
      <c r="P133" s="162"/>
      <c r="Q133" s="131"/>
    </row>
    <row r="134" spans="1:17" ht="21" customHeight="1" x14ac:dyDescent="0.3">
      <c r="B134" s="131"/>
      <c r="C134" s="142" t="s">
        <v>65</v>
      </c>
      <c r="D134" s="133"/>
      <c r="E134" s="131"/>
      <c r="F134" s="134"/>
      <c r="G134" s="134"/>
      <c r="H134" s="134"/>
      <c r="I134" s="135"/>
      <c r="J134" s="135"/>
      <c r="K134" s="136"/>
      <c r="L134" s="137"/>
      <c r="M134" s="138"/>
      <c r="N134" s="137"/>
      <c r="O134" s="161"/>
      <c r="P134" s="162"/>
      <c r="Q134" s="131"/>
    </row>
    <row r="135" spans="1:17" ht="21" customHeight="1" x14ac:dyDescent="0.3">
      <c r="B135" s="144" t="s">
        <v>81</v>
      </c>
      <c r="C135" s="145" t="s">
        <v>0</v>
      </c>
      <c r="D135" s="146" t="s">
        <v>46</v>
      </c>
      <c r="E135" s="147" t="s">
        <v>24</v>
      </c>
      <c r="F135" s="148" t="s">
        <v>3</v>
      </c>
      <c r="G135" s="148" t="s">
        <v>5</v>
      </c>
      <c r="H135" s="148" t="s">
        <v>6</v>
      </c>
      <c r="I135" s="149" t="s">
        <v>41</v>
      </c>
      <c r="J135" s="149" t="s">
        <v>42</v>
      </c>
      <c r="K135" s="150" t="s">
        <v>7</v>
      </c>
      <c r="L135" s="151" t="s">
        <v>8</v>
      </c>
      <c r="M135" s="152" t="s">
        <v>43</v>
      </c>
      <c r="N135" s="151" t="s">
        <v>47</v>
      </c>
      <c r="O135" s="163" t="s">
        <v>29</v>
      </c>
      <c r="P135" s="163" t="s">
        <v>105</v>
      </c>
      <c r="Q135" s="131"/>
    </row>
    <row r="136" spans="1:17" ht="21" customHeight="1" x14ac:dyDescent="0.3">
      <c r="B136" s="131"/>
      <c r="C136" s="153"/>
      <c r="D136" s="154"/>
      <c r="E136" s="155"/>
      <c r="F136" s="156"/>
      <c r="G136" s="156"/>
      <c r="H136" s="156"/>
      <c r="I136" s="157">
        <v>0</v>
      </c>
      <c r="J136" s="157">
        <v>0</v>
      </c>
      <c r="K136" s="150"/>
      <c r="L136" s="151">
        <v>0</v>
      </c>
      <c r="M136" s="152"/>
      <c r="N136" s="151">
        <v>0</v>
      </c>
      <c r="O136" s="163">
        <f>(tblSalesData959699[[#This Row],[Labor income]]+tblSalesData959699[[#This Row],[Other expenses]]+tblSalesData959699[[#This Row],[Selling price materials]])</f>
        <v>0</v>
      </c>
      <c r="P136" s="163">
        <f>tblSalesData959699[[#This Row],[Total price]]-tblSalesData959699[[#This Row],[Costs for materials]]</f>
        <v>0</v>
      </c>
      <c r="Q136" s="131"/>
    </row>
    <row r="137" spans="1:17" ht="21" customHeight="1" x14ac:dyDescent="0.3">
      <c r="B137" s="131"/>
      <c r="C137" s="153"/>
      <c r="D137" s="154"/>
      <c r="E137" s="155"/>
      <c r="F137" s="156"/>
      <c r="G137" s="156"/>
      <c r="H137" s="156"/>
      <c r="I137" s="157">
        <v>0</v>
      </c>
      <c r="J137" s="157">
        <v>0</v>
      </c>
      <c r="K137" s="150"/>
      <c r="L137" s="151">
        <v>0</v>
      </c>
      <c r="M137" s="152"/>
      <c r="N137" s="151">
        <v>0</v>
      </c>
      <c r="O137" s="163">
        <f>SUM(tblSalesData959699[[#This Row],[Labor income]]+tblSalesData959699[[#This Row],[Other expenses]]+tblSalesData959699[[#This Row],[Selling price materials]])</f>
        <v>0</v>
      </c>
      <c r="P137" s="163">
        <f>tblSalesData959699[[#This Row],[Total price]]-tblSalesData959699[[#This Row],[Costs for materials]]</f>
        <v>0</v>
      </c>
      <c r="Q137" s="131"/>
    </row>
    <row r="138" spans="1:17" ht="21" customHeight="1" x14ac:dyDescent="0.3">
      <c r="B138" s="131"/>
      <c r="C138" s="153"/>
      <c r="D138" s="154"/>
      <c r="E138" s="155"/>
      <c r="F138" s="156"/>
      <c r="G138" s="156"/>
      <c r="H138" s="156"/>
      <c r="I138" s="157">
        <v>0</v>
      </c>
      <c r="J138" s="157">
        <v>0</v>
      </c>
      <c r="K138" s="150"/>
      <c r="L138" s="151">
        <v>0</v>
      </c>
      <c r="M138" s="152"/>
      <c r="N138" s="151">
        <v>0</v>
      </c>
      <c r="O138" s="163">
        <f>(tblSalesData959699[[#This Row],[Labor income]]+tblSalesData959699[[#This Row],[Other expenses]]+tblSalesData959699[[#This Row],[Selling price materials]])</f>
        <v>0</v>
      </c>
      <c r="P138" s="163">
        <f>tblSalesData959699[[#This Row],[Total price]]-tblSalesData959699[[#This Row],[Costs for materials]]</f>
        <v>0</v>
      </c>
      <c r="Q138" s="131"/>
    </row>
    <row r="139" spans="1:17" ht="21" customHeight="1" x14ac:dyDescent="0.3">
      <c r="B139" s="131"/>
      <c r="C139" s="153"/>
      <c r="D139" s="154"/>
      <c r="E139" s="155"/>
      <c r="F139" s="156"/>
      <c r="G139" s="156"/>
      <c r="H139" s="156"/>
      <c r="I139" s="157">
        <v>0</v>
      </c>
      <c r="J139" s="157">
        <v>0</v>
      </c>
      <c r="K139" s="150"/>
      <c r="L139" s="151">
        <v>0</v>
      </c>
      <c r="M139" s="152"/>
      <c r="N139" s="151">
        <v>0</v>
      </c>
      <c r="O139" s="163">
        <f>SUM(tblSalesData959699[[#This Row],[Labor income]]+tblSalesData959699[[#This Row],[Other expenses]]+tblSalesData959699[[#This Row],[Selling price materials]])</f>
        <v>0</v>
      </c>
      <c r="P139" s="163">
        <f>tblSalesData959699[[#This Row],[Total price]]-tblSalesData959699[[#This Row],[Costs for materials]]</f>
        <v>0</v>
      </c>
      <c r="Q139" s="131"/>
    </row>
    <row r="140" spans="1:17" ht="21" customHeight="1" x14ac:dyDescent="0.3">
      <c r="B140" s="131"/>
      <c r="C140" s="153"/>
      <c r="D140" s="154"/>
      <c r="E140" s="155"/>
      <c r="F140" s="156"/>
      <c r="G140" s="156"/>
      <c r="H140" s="156"/>
      <c r="I140" s="157">
        <v>0</v>
      </c>
      <c r="J140" s="157">
        <v>0</v>
      </c>
      <c r="K140" s="150"/>
      <c r="L140" s="151">
        <v>0</v>
      </c>
      <c r="M140" s="152"/>
      <c r="N140" s="151">
        <v>0</v>
      </c>
      <c r="O140" s="163">
        <f>(tblSalesData959699[[#This Row],[Labor income]]+tblSalesData959699[[#This Row],[Other expenses]]+tblSalesData959699[[#This Row],[Selling price materials]])</f>
        <v>0</v>
      </c>
      <c r="P140" s="163">
        <f>tblSalesData959699[[#This Row],[Total price]]-tblSalesData959699[[#This Row],[Costs for materials]]</f>
        <v>0</v>
      </c>
      <c r="Q140" s="131"/>
    </row>
    <row r="141" spans="1:17" ht="21" customHeight="1" x14ac:dyDescent="0.3">
      <c r="B141" s="131"/>
      <c r="C141" s="153"/>
      <c r="D141" s="154"/>
      <c r="E141" s="155"/>
      <c r="F141" s="156"/>
      <c r="G141" s="156"/>
      <c r="H141" s="156"/>
      <c r="I141" s="157">
        <v>0</v>
      </c>
      <c r="J141" s="157">
        <v>0</v>
      </c>
      <c r="K141" s="150"/>
      <c r="L141" s="151">
        <v>0</v>
      </c>
      <c r="M141" s="152"/>
      <c r="N141" s="151">
        <v>0</v>
      </c>
      <c r="O141" s="163">
        <f>SUM(tblSalesData959699[[#This Row],[Labor income]]+tblSalesData959699[[#This Row],[Other expenses]]+tblSalesData959699[[#This Row],[Selling price materials]])</f>
        <v>0</v>
      </c>
      <c r="P141" s="163">
        <f>tblSalesData959699[[#This Row],[Total price]]-tblSalesData959699[[#This Row],[Costs for materials]]</f>
        <v>0</v>
      </c>
      <c r="Q141" s="131"/>
    </row>
    <row r="142" spans="1:17" ht="21" customHeight="1" x14ac:dyDescent="0.3">
      <c r="B142" s="131"/>
      <c r="C142" s="153"/>
      <c r="D142" s="154"/>
      <c r="E142" s="155"/>
      <c r="F142" s="156"/>
      <c r="G142" s="156"/>
      <c r="H142" s="156"/>
      <c r="I142" s="157">
        <v>0</v>
      </c>
      <c r="J142" s="157">
        <v>0</v>
      </c>
      <c r="K142" s="150"/>
      <c r="L142" s="151">
        <v>0</v>
      </c>
      <c r="M142" s="158"/>
      <c r="N142" s="151">
        <v>0</v>
      </c>
      <c r="O142" s="163">
        <f>tblSalesData959699[[#This Row],[Labor income]]+tblSalesData959699[[#This Row],[Selling price materials]]</f>
        <v>0</v>
      </c>
      <c r="P142" s="163">
        <f>tblSalesData959699[[#This Row],[Total price]]-tblSalesData959699[[#This Row],[Costs for materials]]</f>
        <v>0</v>
      </c>
      <c r="Q142" s="131"/>
    </row>
    <row r="143" spans="1:17" ht="21" customHeight="1" x14ac:dyDescent="0.3">
      <c r="B143" s="131"/>
      <c r="C143" s="153"/>
      <c r="D143" s="154"/>
      <c r="E143" s="155"/>
      <c r="F143" s="156"/>
      <c r="G143" s="156"/>
      <c r="H143" s="156"/>
      <c r="I143" s="157">
        <v>0</v>
      </c>
      <c r="J143" s="157">
        <v>0</v>
      </c>
      <c r="K143" s="150"/>
      <c r="L143" s="151">
        <v>0</v>
      </c>
      <c r="M143" s="158"/>
      <c r="N143" s="151">
        <v>0</v>
      </c>
      <c r="O143" s="163">
        <f>tblSalesData959699[[#This Row],[Labor income]]+tblSalesData959699[[#This Row],[Selling price materials]]</f>
        <v>0</v>
      </c>
      <c r="P143" s="163">
        <f>tblSalesData959699[[#This Row],[Total price]]-tblSalesData959699[[#This Row],[Costs for materials]]</f>
        <v>0</v>
      </c>
      <c r="Q143" s="131"/>
    </row>
    <row r="144" spans="1:17" ht="21" customHeight="1" x14ac:dyDescent="0.3">
      <c r="B144" s="131"/>
      <c r="C144" s="153"/>
      <c r="D144" s="154"/>
      <c r="E144" s="155"/>
      <c r="F144" s="156"/>
      <c r="G144" s="156"/>
      <c r="H144" s="156"/>
      <c r="I144" s="157">
        <v>0</v>
      </c>
      <c r="J144" s="157">
        <v>0</v>
      </c>
      <c r="K144" s="150"/>
      <c r="L144" s="151">
        <v>0</v>
      </c>
      <c r="M144" s="158"/>
      <c r="N144" s="151">
        <v>0</v>
      </c>
      <c r="O144" s="163">
        <f>tblSalesData959699[[#This Row],[Labor income]]+tblSalesData959699[[#This Row],[Selling price materials]]</f>
        <v>0</v>
      </c>
      <c r="P144" s="163">
        <f>tblSalesData959699[[#This Row],[Total price]]-tblSalesData959699[[#This Row],[Costs for materials]]</f>
        <v>0</v>
      </c>
      <c r="Q144" s="131"/>
    </row>
    <row r="145" spans="1:17" ht="21" customHeight="1" thickBot="1" x14ac:dyDescent="0.35">
      <c r="B145" s="131"/>
      <c r="C145" s="153"/>
      <c r="D145" s="154"/>
      <c r="E145" s="155"/>
      <c r="F145" s="156"/>
      <c r="G145" s="156"/>
      <c r="H145" s="156"/>
      <c r="I145" s="157">
        <v>0</v>
      </c>
      <c r="J145" s="157">
        <v>0</v>
      </c>
      <c r="K145" s="150"/>
      <c r="L145" s="151">
        <v>0</v>
      </c>
      <c r="M145" s="152"/>
      <c r="N145" s="151">
        <v>0</v>
      </c>
      <c r="O145" s="163">
        <f>(tblSalesData959699[[#This Row],[Labor income]]+tblSalesData959699[[#This Row],[Other expenses]]+tblSalesData959699[[#This Row],[Selling price materials]])</f>
        <v>0</v>
      </c>
      <c r="P145" s="163">
        <f>tblSalesData959699[[#This Row],[Total price]]-tblSalesData959699[[#This Row],[Costs for materials]]</f>
        <v>0</v>
      </c>
      <c r="Q145" s="131"/>
    </row>
    <row r="146" spans="1:17" ht="21" customHeight="1" thickTop="1" x14ac:dyDescent="0.3">
      <c r="A146" s="130" t="s">
        <v>1</v>
      </c>
      <c r="B146" s="159">
        <f>SUBTOTAL(2,tblSalesData959699[No.])</f>
        <v>0</v>
      </c>
      <c r="C146" s="132"/>
      <c r="D146" s="131"/>
      <c r="E146" s="131"/>
      <c r="F146" s="134"/>
      <c r="G146" s="134"/>
      <c r="H146" s="134"/>
      <c r="I146" s="135">
        <f>SUBTOTAL(109,tblSalesData959699[Costs for materials])</f>
        <v>0</v>
      </c>
      <c r="J146" s="135">
        <f>SUM(tblSalesData959699[Selling price materials])</f>
        <v>0</v>
      </c>
      <c r="K146" s="136">
        <f>SUBTOTAL(109,tblSalesData959699[Hours of work])</f>
        <v>0</v>
      </c>
      <c r="L146" s="137">
        <f>SUM(tblSalesData959699[Other expenses])</f>
        <v>0</v>
      </c>
      <c r="M146" s="138"/>
      <c r="N146" s="137">
        <f>SUBTOTAL(109,tblSalesData959699[Labor income])</f>
        <v>0</v>
      </c>
      <c r="O146" s="259">
        <f>SUBTOTAL(109,tblSalesData959699[Total price])</f>
        <v>0</v>
      </c>
      <c r="P146" s="260">
        <f>SUBTOTAL(109,tblSalesData959699[Gross Profit])</f>
        <v>0</v>
      </c>
      <c r="Q146" s="131"/>
    </row>
    <row r="147" spans="1:17" ht="21" customHeight="1" x14ac:dyDescent="0.3">
      <c r="B147" s="131"/>
      <c r="C147" s="132"/>
      <c r="D147" s="133"/>
      <c r="E147" s="131"/>
      <c r="F147" s="134"/>
      <c r="G147" s="134"/>
      <c r="H147" s="134"/>
      <c r="I147" s="135"/>
      <c r="J147" s="135"/>
      <c r="K147" s="136"/>
      <c r="L147" s="137"/>
      <c r="M147" s="138"/>
      <c r="N147" s="137"/>
      <c r="O147" s="161"/>
      <c r="P147" s="162"/>
      <c r="Q147" s="131"/>
    </row>
    <row r="148" spans="1:17" ht="21" customHeight="1" x14ac:dyDescent="0.3">
      <c r="B148" s="131"/>
      <c r="C148" s="142" t="s">
        <v>66</v>
      </c>
      <c r="D148" s="133"/>
      <c r="E148" s="131"/>
      <c r="F148" s="134"/>
      <c r="G148" s="134"/>
      <c r="H148" s="134"/>
      <c r="I148" s="135"/>
      <c r="J148" s="135"/>
      <c r="K148" s="136"/>
      <c r="L148" s="137"/>
      <c r="M148" s="138"/>
      <c r="N148" s="137"/>
      <c r="O148" s="161"/>
      <c r="P148" s="162"/>
      <c r="Q148" s="131"/>
    </row>
    <row r="149" spans="1:17" ht="21" customHeight="1" x14ac:dyDescent="0.3">
      <c r="B149" s="144" t="s">
        <v>81</v>
      </c>
      <c r="C149" s="145" t="s">
        <v>0</v>
      </c>
      <c r="D149" s="146" t="s">
        <v>46</v>
      </c>
      <c r="E149" s="147" t="s">
        <v>24</v>
      </c>
      <c r="F149" s="148" t="s">
        <v>3</v>
      </c>
      <c r="G149" s="148" t="s">
        <v>5</v>
      </c>
      <c r="H149" s="148" t="s">
        <v>6</v>
      </c>
      <c r="I149" s="149" t="s">
        <v>41</v>
      </c>
      <c r="J149" s="149" t="s">
        <v>42</v>
      </c>
      <c r="K149" s="150" t="s">
        <v>7</v>
      </c>
      <c r="L149" s="151" t="s">
        <v>8</v>
      </c>
      <c r="M149" s="152" t="s">
        <v>43</v>
      </c>
      <c r="N149" s="151" t="s">
        <v>47</v>
      </c>
      <c r="O149" s="163" t="s">
        <v>29</v>
      </c>
      <c r="P149" s="163" t="s">
        <v>105</v>
      </c>
      <c r="Q149" s="131"/>
    </row>
    <row r="150" spans="1:17" ht="21" customHeight="1" x14ac:dyDescent="0.3">
      <c r="B150" s="131"/>
      <c r="C150" s="153"/>
      <c r="D150" s="154"/>
      <c r="E150" s="155"/>
      <c r="F150" s="156"/>
      <c r="G150" s="156"/>
      <c r="H150" s="156"/>
      <c r="I150" s="157">
        <v>0</v>
      </c>
      <c r="J150" s="157">
        <v>0</v>
      </c>
      <c r="K150" s="150"/>
      <c r="L150" s="151">
        <v>0</v>
      </c>
      <c r="M150" s="152"/>
      <c r="N150" s="151">
        <v>0</v>
      </c>
      <c r="O150" s="163">
        <f>(tblSalesData9596100[[#This Row],[Labor income]]+tblSalesData9596100[[#This Row],[Other expenses]]+tblSalesData9596100[[#This Row],[Selling price materials]])</f>
        <v>0</v>
      </c>
      <c r="P150" s="163">
        <f>tblSalesData9596100[[#This Row],[Total price]]-tblSalesData9596100[[#This Row],[Costs for materials]]</f>
        <v>0</v>
      </c>
      <c r="Q150" s="131"/>
    </row>
    <row r="151" spans="1:17" ht="21" customHeight="1" x14ac:dyDescent="0.3">
      <c r="B151" s="131"/>
      <c r="C151" s="153"/>
      <c r="D151" s="154"/>
      <c r="E151" s="155"/>
      <c r="F151" s="156"/>
      <c r="G151" s="156"/>
      <c r="H151" s="156"/>
      <c r="I151" s="157">
        <v>0</v>
      </c>
      <c r="J151" s="157">
        <v>0</v>
      </c>
      <c r="K151" s="150"/>
      <c r="L151" s="151">
        <v>0</v>
      </c>
      <c r="M151" s="152"/>
      <c r="N151" s="151">
        <v>0</v>
      </c>
      <c r="O151" s="163">
        <f>SUM(tblSalesData9596100[[#This Row],[Labor income]]+tblSalesData9596100[[#This Row],[Other expenses]]+tblSalesData9596100[[#This Row],[Selling price materials]])</f>
        <v>0</v>
      </c>
      <c r="P151" s="163">
        <f>tblSalesData9596100[[#This Row],[Total price]]-tblSalesData9596100[[#This Row],[Costs for materials]]</f>
        <v>0</v>
      </c>
      <c r="Q151" s="131"/>
    </row>
    <row r="152" spans="1:17" ht="21" customHeight="1" x14ac:dyDescent="0.3">
      <c r="B152" s="131"/>
      <c r="C152" s="153"/>
      <c r="D152" s="154"/>
      <c r="E152" s="155"/>
      <c r="F152" s="156"/>
      <c r="G152" s="156"/>
      <c r="H152" s="156"/>
      <c r="I152" s="157">
        <v>0</v>
      </c>
      <c r="J152" s="157">
        <v>0</v>
      </c>
      <c r="K152" s="150"/>
      <c r="L152" s="151">
        <v>0</v>
      </c>
      <c r="M152" s="152"/>
      <c r="N152" s="151">
        <v>0</v>
      </c>
      <c r="O152" s="163">
        <f>(tblSalesData9596100[[#This Row],[Labor income]]+tblSalesData9596100[[#This Row],[Other expenses]]+tblSalesData9596100[[#This Row],[Selling price materials]])</f>
        <v>0</v>
      </c>
      <c r="P152" s="163">
        <f>tblSalesData9596100[[#This Row],[Total price]]-tblSalesData9596100[[#This Row],[Costs for materials]]</f>
        <v>0</v>
      </c>
      <c r="Q152" s="131"/>
    </row>
    <row r="153" spans="1:17" ht="21" customHeight="1" x14ac:dyDescent="0.3">
      <c r="B153" s="131"/>
      <c r="C153" s="153"/>
      <c r="D153" s="154"/>
      <c r="E153" s="155"/>
      <c r="F153" s="156"/>
      <c r="G153" s="156"/>
      <c r="H153" s="156"/>
      <c r="I153" s="157">
        <v>0</v>
      </c>
      <c r="J153" s="157">
        <v>0</v>
      </c>
      <c r="K153" s="150"/>
      <c r="L153" s="151">
        <v>0</v>
      </c>
      <c r="M153" s="152"/>
      <c r="N153" s="151">
        <v>0</v>
      </c>
      <c r="O153" s="163">
        <f>SUM(tblSalesData9596100[[#This Row],[Labor income]]+tblSalesData9596100[[#This Row],[Other expenses]]+tblSalesData9596100[[#This Row],[Selling price materials]])</f>
        <v>0</v>
      </c>
      <c r="P153" s="163">
        <f>tblSalesData9596100[[#This Row],[Total price]]-tblSalesData9596100[[#This Row],[Costs for materials]]</f>
        <v>0</v>
      </c>
      <c r="Q153" s="131"/>
    </row>
    <row r="154" spans="1:17" ht="21" customHeight="1" x14ac:dyDescent="0.3">
      <c r="B154" s="131"/>
      <c r="C154" s="153"/>
      <c r="D154" s="154"/>
      <c r="E154" s="155"/>
      <c r="F154" s="156"/>
      <c r="G154" s="156"/>
      <c r="H154" s="156"/>
      <c r="I154" s="157">
        <v>0</v>
      </c>
      <c r="J154" s="157">
        <v>0</v>
      </c>
      <c r="K154" s="150"/>
      <c r="L154" s="151">
        <v>0</v>
      </c>
      <c r="M154" s="152"/>
      <c r="N154" s="151">
        <v>0</v>
      </c>
      <c r="O154" s="163">
        <f>(tblSalesData9596100[[#This Row],[Labor income]]+tblSalesData9596100[[#This Row],[Other expenses]]+tblSalesData9596100[[#This Row],[Selling price materials]])</f>
        <v>0</v>
      </c>
      <c r="P154" s="163">
        <f>tblSalesData9596100[[#This Row],[Total price]]-tblSalesData9596100[[#This Row],[Costs for materials]]</f>
        <v>0</v>
      </c>
      <c r="Q154" s="131"/>
    </row>
    <row r="155" spans="1:17" ht="21" customHeight="1" x14ac:dyDescent="0.3">
      <c r="B155" s="131"/>
      <c r="C155" s="153"/>
      <c r="D155" s="154"/>
      <c r="E155" s="155"/>
      <c r="F155" s="156"/>
      <c r="G155" s="156"/>
      <c r="H155" s="156"/>
      <c r="I155" s="157">
        <v>0</v>
      </c>
      <c r="J155" s="157">
        <v>0</v>
      </c>
      <c r="K155" s="150"/>
      <c r="L155" s="151">
        <v>0</v>
      </c>
      <c r="M155" s="152"/>
      <c r="N155" s="151">
        <v>0</v>
      </c>
      <c r="O155" s="163">
        <f>SUM(tblSalesData9596100[[#This Row],[Labor income]]+tblSalesData9596100[[#This Row],[Other expenses]]+tblSalesData9596100[[#This Row],[Selling price materials]])</f>
        <v>0</v>
      </c>
      <c r="P155" s="163">
        <f>tblSalesData9596100[[#This Row],[Total price]]-tblSalesData9596100[[#This Row],[Costs for materials]]</f>
        <v>0</v>
      </c>
      <c r="Q155" s="131"/>
    </row>
    <row r="156" spans="1:17" ht="21" customHeight="1" x14ac:dyDescent="0.3">
      <c r="B156" s="131"/>
      <c r="C156" s="153"/>
      <c r="D156" s="154"/>
      <c r="E156" s="155"/>
      <c r="F156" s="156"/>
      <c r="G156" s="156"/>
      <c r="H156" s="156"/>
      <c r="I156" s="157">
        <v>0</v>
      </c>
      <c r="J156" s="157">
        <v>0</v>
      </c>
      <c r="K156" s="150"/>
      <c r="L156" s="151">
        <v>0</v>
      </c>
      <c r="M156" s="158"/>
      <c r="N156" s="151">
        <v>0</v>
      </c>
      <c r="O156" s="163">
        <f>tblSalesData9596100[[#This Row],[Labor income]]+tblSalesData9596100[[#This Row],[Selling price materials]]</f>
        <v>0</v>
      </c>
      <c r="P156" s="163">
        <f>tblSalesData9596100[[#This Row],[Total price]]-tblSalesData9596100[[#This Row],[Costs for materials]]</f>
        <v>0</v>
      </c>
      <c r="Q156" s="131"/>
    </row>
    <row r="157" spans="1:17" ht="21" customHeight="1" x14ac:dyDescent="0.3">
      <c r="B157" s="131"/>
      <c r="C157" s="153"/>
      <c r="D157" s="154"/>
      <c r="E157" s="155"/>
      <c r="F157" s="156"/>
      <c r="G157" s="156"/>
      <c r="H157" s="156"/>
      <c r="I157" s="157">
        <v>0</v>
      </c>
      <c r="J157" s="157">
        <v>0</v>
      </c>
      <c r="K157" s="150"/>
      <c r="L157" s="151">
        <v>0</v>
      </c>
      <c r="M157" s="158"/>
      <c r="N157" s="151">
        <v>0</v>
      </c>
      <c r="O157" s="163">
        <f>tblSalesData9596100[[#This Row],[Labor income]]+tblSalesData9596100[[#This Row],[Selling price materials]]</f>
        <v>0</v>
      </c>
      <c r="P157" s="163">
        <f>tblSalesData9596100[[#This Row],[Total price]]-tblSalesData9596100[[#This Row],[Costs for materials]]</f>
        <v>0</v>
      </c>
      <c r="Q157" s="131"/>
    </row>
    <row r="158" spans="1:17" ht="21" customHeight="1" x14ac:dyDescent="0.3">
      <c r="B158" s="131"/>
      <c r="C158" s="153"/>
      <c r="D158" s="154"/>
      <c r="E158" s="155"/>
      <c r="F158" s="156"/>
      <c r="G158" s="156"/>
      <c r="H158" s="156"/>
      <c r="I158" s="157">
        <v>0</v>
      </c>
      <c r="J158" s="157">
        <v>0</v>
      </c>
      <c r="K158" s="150"/>
      <c r="L158" s="151">
        <v>0</v>
      </c>
      <c r="M158" s="158"/>
      <c r="N158" s="151">
        <v>0</v>
      </c>
      <c r="O158" s="163">
        <f>tblSalesData9596100[[#This Row],[Labor income]]+tblSalesData9596100[[#This Row],[Selling price materials]]</f>
        <v>0</v>
      </c>
      <c r="P158" s="163">
        <f>tblSalesData9596100[[#This Row],[Total price]]-tblSalesData9596100[[#This Row],[Costs for materials]]</f>
        <v>0</v>
      </c>
      <c r="Q158" s="131"/>
    </row>
    <row r="159" spans="1:17" ht="21" customHeight="1" thickBot="1" x14ac:dyDescent="0.35">
      <c r="B159" s="131"/>
      <c r="C159" s="153"/>
      <c r="D159" s="154"/>
      <c r="E159" s="155"/>
      <c r="F159" s="156"/>
      <c r="G159" s="156"/>
      <c r="H159" s="156"/>
      <c r="I159" s="157">
        <v>0</v>
      </c>
      <c r="J159" s="157">
        <v>0</v>
      </c>
      <c r="K159" s="150"/>
      <c r="L159" s="151">
        <v>0</v>
      </c>
      <c r="M159" s="152"/>
      <c r="N159" s="151">
        <v>0</v>
      </c>
      <c r="O159" s="163">
        <f>(tblSalesData9596100[[#This Row],[Labor income]]+tblSalesData9596100[[#This Row],[Other expenses]]+tblSalesData9596100[[#This Row],[Selling price materials]])</f>
        <v>0</v>
      </c>
      <c r="P159" s="163">
        <f>tblSalesData9596100[[#This Row],[Total price]]-tblSalesData9596100[[#This Row],[Costs for materials]]</f>
        <v>0</v>
      </c>
      <c r="Q159" s="131"/>
    </row>
    <row r="160" spans="1:17" ht="21" customHeight="1" thickTop="1" x14ac:dyDescent="0.3">
      <c r="A160" s="130" t="s">
        <v>1</v>
      </c>
      <c r="B160" s="159">
        <f>SUBTOTAL(2,tblSalesData9596100[No.])</f>
        <v>0</v>
      </c>
      <c r="C160" s="132"/>
      <c r="D160" s="131"/>
      <c r="E160" s="131"/>
      <c r="F160" s="134"/>
      <c r="G160" s="134"/>
      <c r="H160" s="134"/>
      <c r="I160" s="135">
        <f>SUBTOTAL(109,tblSalesData9596100[Costs for materials])</f>
        <v>0</v>
      </c>
      <c r="J160" s="135">
        <f>SUM(tblSalesData9596100[Selling price materials])</f>
        <v>0</v>
      </c>
      <c r="K160" s="136">
        <f>SUBTOTAL(109,tblSalesData9596100[Hours of work])</f>
        <v>0</v>
      </c>
      <c r="L160" s="137">
        <f>SUM(tblSalesData9596100[Other expenses])</f>
        <v>0</v>
      </c>
      <c r="M160" s="138"/>
      <c r="N160" s="137">
        <f>SUBTOTAL(109,tblSalesData9596100[Labor income])</f>
        <v>0</v>
      </c>
      <c r="O160" s="259">
        <f>SUBTOTAL(109,tblSalesData9596100[Total price])</f>
        <v>0</v>
      </c>
      <c r="P160" s="260">
        <f>SUBTOTAL(109,tblSalesData9596100[Gross Profit])</f>
        <v>0</v>
      </c>
      <c r="Q160" s="131"/>
    </row>
    <row r="161" spans="1:17" ht="21" customHeight="1" x14ac:dyDescent="0.3">
      <c r="B161" s="131"/>
      <c r="C161" s="132"/>
      <c r="D161" s="133"/>
      <c r="E161" s="131"/>
      <c r="F161" s="134"/>
      <c r="G161" s="134"/>
      <c r="H161" s="134"/>
      <c r="I161" s="135"/>
      <c r="J161" s="135"/>
      <c r="K161" s="136"/>
      <c r="L161" s="137"/>
      <c r="M161" s="138"/>
      <c r="N161" s="137"/>
      <c r="O161" s="161"/>
      <c r="P161" s="162"/>
      <c r="Q161" s="131"/>
    </row>
    <row r="162" spans="1:17" ht="21" customHeight="1" x14ac:dyDescent="0.3">
      <c r="B162" s="131"/>
      <c r="C162" s="142" t="s">
        <v>67</v>
      </c>
      <c r="D162" s="133"/>
      <c r="E162" s="131"/>
      <c r="F162" s="134"/>
      <c r="G162" s="134"/>
      <c r="H162" s="134"/>
      <c r="I162" s="135"/>
      <c r="J162" s="135"/>
      <c r="K162" s="136"/>
      <c r="L162" s="137"/>
      <c r="M162" s="138"/>
      <c r="N162" s="137"/>
      <c r="O162" s="161"/>
      <c r="P162" s="162"/>
      <c r="Q162" s="131"/>
    </row>
    <row r="163" spans="1:17" ht="21" customHeight="1" x14ac:dyDescent="0.3">
      <c r="B163" s="144" t="s">
        <v>81</v>
      </c>
      <c r="C163" s="145" t="s">
        <v>0</v>
      </c>
      <c r="D163" s="146" t="s">
        <v>46</v>
      </c>
      <c r="E163" s="147" t="s">
        <v>24</v>
      </c>
      <c r="F163" s="148" t="s">
        <v>3</v>
      </c>
      <c r="G163" s="148" t="s">
        <v>5</v>
      </c>
      <c r="H163" s="148" t="s">
        <v>6</v>
      </c>
      <c r="I163" s="149" t="s">
        <v>41</v>
      </c>
      <c r="J163" s="149" t="s">
        <v>42</v>
      </c>
      <c r="K163" s="150" t="s">
        <v>7</v>
      </c>
      <c r="L163" s="151" t="s">
        <v>8</v>
      </c>
      <c r="M163" s="152" t="s">
        <v>43</v>
      </c>
      <c r="N163" s="151" t="s">
        <v>47</v>
      </c>
      <c r="O163" s="163" t="s">
        <v>29</v>
      </c>
      <c r="P163" s="163" t="s">
        <v>105</v>
      </c>
      <c r="Q163" s="131"/>
    </row>
    <row r="164" spans="1:17" ht="21" customHeight="1" x14ac:dyDescent="0.3">
      <c r="B164" s="131"/>
      <c r="C164" s="153"/>
      <c r="D164" s="154"/>
      <c r="E164" s="155"/>
      <c r="F164" s="156"/>
      <c r="G164" s="156"/>
      <c r="H164" s="156"/>
      <c r="I164" s="157">
        <v>0</v>
      </c>
      <c r="J164" s="157">
        <v>0</v>
      </c>
      <c r="K164" s="150"/>
      <c r="L164" s="151">
        <v>0</v>
      </c>
      <c r="M164" s="152"/>
      <c r="N164" s="151">
        <v>0</v>
      </c>
      <c r="O164" s="163">
        <f>(tblSalesData9596101[[#This Row],[Labor income]]+tblSalesData9596101[[#This Row],[Other expenses]]+tblSalesData9596101[[#This Row],[Selling price materials]])</f>
        <v>0</v>
      </c>
      <c r="P164" s="163">
        <f>tblSalesData9596101[[#This Row],[Total price]]-tblSalesData9596101[[#This Row],[Costs for materials]]</f>
        <v>0</v>
      </c>
      <c r="Q164" s="131"/>
    </row>
    <row r="165" spans="1:17" ht="21" customHeight="1" x14ac:dyDescent="0.3">
      <c r="B165" s="131"/>
      <c r="C165" s="153"/>
      <c r="D165" s="154"/>
      <c r="E165" s="155"/>
      <c r="F165" s="156"/>
      <c r="G165" s="156"/>
      <c r="H165" s="156"/>
      <c r="I165" s="157">
        <v>0</v>
      </c>
      <c r="J165" s="157">
        <v>0</v>
      </c>
      <c r="K165" s="150"/>
      <c r="L165" s="151">
        <v>0</v>
      </c>
      <c r="M165" s="152"/>
      <c r="N165" s="151">
        <v>0</v>
      </c>
      <c r="O165" s="163">
        <f>SUM(tblSalesData9596101[[#This Row],[Labor income]]+tblSalesData9596101[[#This Row],[Other expenses]]+tblSalesData9596101[[#This Row],[Selling price materials]])</f>
        <v>0</v>
      </c>
      <c r="P165" s="163">
        <f>tblSalesData9596101[[#This Row],[Total price]]-tblSalesData9596101[[#This Row],[Costs for materials]]</f>
        <v>0</v>
      </c>
      <c r="Q165" s="131"/>
    </row>
    <row r="166" spans="1:17" ht="21" customHeight="1" x14ac:dyDescent="0.3">
      <c r="B166" s="131"/>
      <c r="C166" s="153"/>
      <c r="D166" s="154"/>
      <c r="E166" s="155"/>
      <c r="F166" s="156"/>
      <c r="G166" s="156"/>
      <c r="H166" s="156"/>
      <c r="I166" s="157">
        <v>0</v>
      </c>
      <c r="J166" s="157">
        <v>0</v>
      </c>
      <c r="K166" s="150"/>
      <c r="L166" s="151">
        <v>0</v>
      </c>
      <c r="M166" s="152"/>
      <c r="N166" s="151">
        <v>0</v>
      </c>
      <c r="O166" s="163">
        <f>(tblSalesData9596101[[#This Row],[Labor income]]+tblSalesData9596101[[#This Row],[Other expenses]]+tblSalesData9596101[[#This Row],[Selling price materials]])</f>
        <v>0</v>
      </c>
      <c r="P166" s="163">
        <f>tblSalesData9596101[[#This Row],[Total price]]-tblSalesData9596101[[#This Row],[Costs for materials]]</f>
        <v>0</v>
      </c>
      <c r="Q166" s="131"/>
    </row>
    <row r="167" spans="1:17" ht="21" customHeight="1" x14ac:dyDescent="0.3">
      <c r="B167" s="131"/>
      <c r="C167" s="153"/>
      <c r="D167" s="154"/>
      <c r="E167" s="155"/>
      <c r="F167" s="156"/>
      <c r="G167" s="156"/>
      <c r="H167" s="156"/>
      <c r="I167" s="157">
        <v>0</v>
      </c>
      <c r="J167" s="157">
        <v>0</v>
      </c>
      <c r="K167" s="150"/>
      <c r="L167" s="151">
        <v>0</v>
      </c>
      <c r="M167" s="152"/>
      <c r="N167" s="151">
        <v>0</v>
      </c>
      <c r="O167" s="163">
        <f>SUM(tblSalesData9596101[[#This Row],[Labor income]]+tblSalesData9596101[[#This Row],[Other expenses]]+tblSalesData9596101[[#This Row],[Selling price materials]])</f>
        <v>0</v>
      </c>
      <c r="P167" s="163">
        <f>tblSalesData9596101[[#This Row],[Total price]]-tblSalesData9596101[[#This Row],[Costs for materials]]</f>
        <v>0</v>
      </c>
      <c r="Q167" s="131"/>
    </row>
    <row r="168" spans="1:17" ht="21" customHeight="1" x14ac:dyDescent="0.3">
      <c r="B168" s="131"/>
      <c r="C168" s="153"/>
      <c r="D168" s="154"/>
      <c r="E168" s="155"/>
      <c r="F168" s="156"/>
      <c r="G168" s="156"/>
      <c r="H168" s="156"/>
      <c r="I168" s="157">
        <v>0</v>
      </c>
      <c r="J168" s="157">
        <v>0</v>
      </c>
      <c r="K168" s="150"/>
      <c r="L168" s="151">
        <v>0</v>
      </c>
      <c r="M168" s="152"/>
      <c r="N168" s="151">
        <v>0</v>
      </c>
      <c r="O168" s="163">
        <f>(tblSalesData9596101[[#This Row],[Labor income]]+tblSalesData9596101[[#This Row],[Other expenses]]+tblSalesData9596101[[#This Row],[Selling price materials]])</f>
        <v>0</v>
      </c>
      <c r="P168" s="163">
        <f>tblSalesData9596101[[#This Row],[Total price]]-tblSalesData9596101[[#This Row],[Costs for materials]]</f>
        <v>0</v>
      </c>
      <c r="Q168" s="131"/>
    </row>
    <row r="169" spans="1:17" ht="21" customHeight="1" x14ac:dyDescent="0.3">
      <c r="B169" s="131"/>
      <c r="C169" s="153"/>
      <c r="D169" s="154"/>
      <c r="E169" s="155"/>
      <c r="F169" s="156"/>
      <c r="G169" s="156"/>
      <c r="H169" s="156"/>
      <c r="I169" s="157">
        <v>0</v>
      </c>
      <c r="J169" s="157">
        <v>0</v>
      </c>
      <c r="K169" s="150"/>
      <c r="L169" s="151">
        <v>0</v>
      </c>
      <c r="M169" s="152"/>
      <c r="N169" s="151">
        <v>0</v>
      </c>
      <c r="O169" s="163">
        <f>SUM(tblSalesData9596101[[#This Row],[Labor income]]+tblSalesData9596101[[#This Row],[Other expenses]]+tblSalesData9596101[[#This Row],[Selling price materials]])</f>
        <v>0</v>
      </c>
      <c r="P169" s="163">
        <f>tblSalesData9596101[[#This Row],[Total price]]-tblSalesData9596101[[#This Row],[Costs for materials]]</f>
        <v>0</v>
      </c>
      <c r="Q169" s="131"/>
    </row>
    <row r="170" spans="1:17" ht="21" customHeight="1" x14ac:dyDescent="0.3">
      <c r="B170" s="131"/>
      <c r="C170" s="153"/>
      <c r="D170" s="154"/>
      <c r="E170" s="155"/>
      <c r="F170" s="156"/>
      <c r="G170" s="156"/>
      <c r="H170" s="156"/>
      <c r="I170" s="157">
        <v>0</v>
      </c>
      <c r="J170" s="157">
        <v>0</v>
      </c>
      <c r="K170" s="150"/>
      <c r="L170" s="151">
        <v>0</v>
      </c>
      <c r="M170" s="158"/>
      <c r="N170" s="151">
        <v>0</v>
      </c>
      <c r="O170" s="163">
        <f>tblSalesData9596101[[#This Row],[Labor income]]+tblSalesData9596101[[#This Row],[Selling price materials]]</f>
        <v>0</v>
      </c>
      <c r="P170" s="163">
        <f>tblSalesData9596101[[#This Row],[Total price]]-tblSalesData9596101[[#This Row],[Costs for materials]]</f>
        <v>0</v>
      </c>
      <c r="Q170" s="131"/>
    </row>
    <row r="171" spans="1:17" ht="21" customHeight="1" x14ac:dyDescent="0.3">
      <c r="B171" s="131"/>
      <c r="C171" s="153"/>
      <c r="D171" s="154"/>
      <c r="E171" s="155"/>
      <c r="F171" s="156"/>
      <c r="G171" s="156"/>
      <c r="H171" s="156"/>
      <c r="I171" s="157">
        <v>0</v>
      </c>
      <c r="J171" s="157">
        <v>0</v>
      </c>
      <c r="K171" s="150"/>
      <c r="L171" s="151">
        <v>0</v>
      </c>
      <c r="M171" s="158"/>
      <c r="N171" s="151">
        <v>0</v>
      </c>
      <c r="O171" s="163">
        <f>tblSalesData9596101[[#This Row],[Labor income]]+tblSalesData9596101[[#This Row],[Selling price materials]]</f>
        <v>0</v>
      </c>
      <c r="P171" s="163">
        <f>tblSalesData9596101[[#This Row],[Total price]]-tblSalesData9596101[[#This Row],[Costs for materials]]</f>
        <v>0</v>
      </c>
      <c r="Q171" s="131"/>
    </row>
    <row r="172" spans="1:17" ht="21" customHeight="1" x14ac:dyDescent="0.3">
      <c r="B172" s="131"/>
      <c r="C172" s="153"/>
      <c r="D172" s="154"/>
      <c r="E172" s="155"/>
      <c r="F172" s="156"/>
      <c r="G172" s="156"/>
      <c r="H172" s="156"/>
      <c r="I172" s="157">
        <v>0</v>
      </c>
      <c r="J172" s="157">
        <v>0</v>
      </c>
      <c r="K172" s="150"/>
      <c r="L172" s="151">
        <v>0</v>
      </c>
      <c r="M172" s="158"/>
      <c r="N172" s="151">
        <v>0</v>
      </c>
      <c r="O172" s="163">
        <f>tblSalesData9596101[[#This Row],[Labor income]]+tblSalesData9596101[[#This Row],[Selling price materials]]</f>
        <v>0</v>
      </c>
      <c r="P172" s="163">
        <f>tblSalesData9596101[[#This Row],[Total price]]-tblSalesData9596101[[#This Row],[Costs for materials]]</f>
        <v>0</v>
      </c>
      <c r="Q172" s="131"/>
    </row>
    <row r="173" spans="1:17" ht="21" customHeight="1" thickBot="1" x14ac:dyDescent="0.35">
      <c r="B173" s="131"/>
      <c r="C173" s="153"/>
      <c r="D173" s="154"/>
      <c r="E173" s="155"/>
      <c r="F173" s="156"/>
      <c r="G173" s="156"/>
      <c r="H173" s="156"/>
      <c r="I173" s="157">
        <v>0</v>
      </c>
      <c r="J173" s="157">
        <v>0</v>
      </c>
      <c r="K173" s="150"/>
      <c r="L173" s="151">
        <v>0</v>
      </c>
      <c r="M173" s="152"/>
      <c r="N173" s="151">
        <v>0</v>
      </c>
      <c r="O173" s="163">
        <f>(tblSalesData9596101[[#This Row],[Labor income]]+tblSalesData9596101[[#This Row],[Other expenses]]+tblSalesData9596101[[#This Row],[Selling price materials]])</f>
        <v>0</v>
      </c>
      <c r="P173" s="163">
        <f>tblSalesData9596101[[#This Row],[Total price]]-tblSalesData9596101[[#This Row],[Costs for materials]]</f>
        <v>0</v>
      </c>
      <c r="Q173" s="131"/>
    </row>
    <row r="174" spans="1:17" ht="21" customHeight="1" thickTop="1" x14ac:dyDescent="0.3">
      <c r="A174" s="130" t="s">
        <v>1</v>
      </c>
      <c r="B174" s="159">
        <f>SUBTOTAL(2,tblSalesData9596101[No.])</f>
        <v>0</v>
      </c>
      <c r="C174" s="132"/>
      <c r="D174" s="131"/>
      <c r="E174" s="131"/>
      <c r="F174" s="134"/>
      <c r="G174" s="134"/>
      <c r="H174" s="134"/>
      <c r="I174" s="135">
        <f>SUBTOTAL(109,tblSalesData9596101[Costs for materials])</f>
        <v>0</v>
      </c>
      <c r="J174" s="135">
        <f>SUM(tblSalesData9596101[Selling price materials])</f>
        <v>0</v>
      </c>
      <c r="K174" s="136">
        <f>SUBTOTAL(109,tblSalesData9596101[Hours of work])</f>
        <v>0</v>
      </c>
      <c r="L174" s="137">
        <f>SUM(tblSalesData9596101[Other expenses])</f>
        <v>0</v>
      </c>
      <c r="M174" s="138"/>
      <c r="N174" s="137">
        <f>SUBTOTAL(109,tblSalesData9596101[Labor income])</f>
        <v>0</v>
      </c>
      <c r="O174" s="259">
        <f>SUBTOTAL(109,tblSalesData9596101[Total price])</f>
        <v>0</v>
      </c>
      <c r="P174" s="260">
        <f>SUBTOTAL(109,tblSalesData9596101[Gross Profit])</f>
        <v>0</v>
      </c>
      <c r="Q174" s="131"/>
    </row>
  </sheetData>
  <sheetProtection password="CF7A" sheet="1" objects="1" scenarios="1" formatCells="0" sort="0"/>
  <printOptions horizontalCentered="1"/>
  <pageMargins left="0.25" right="0.25" top="0.75" bottom="0.75" header="0.3" footer="0.3"/>
  <pageSetup scale="86" fitToHeight="0" orientation="landscape" r:id="rId1"/>
  <drawing r:id="rId2"/>
  <tableParts count="12">
    <tablePart r:id="rId3"/>
    <tablePart r:id="rId4"/>
    <tablePart r:id="rId5"/>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disablePrompts="1" count="2">
        <x14:dataValidation type="list" errorStyle="warning" allowBlank="1" showInputMessage="1" showErrorMessage="1" errorTitle="Whoops!" error="These numbers are from a list on the Inventory sheet.  To add it to the drop down list, click Cancel, go to the Inventory sheet and add it to the list.">
          <x14:formula1>
            <xm:f>'Data sheet'!$A$2:$A$6</xm:f>
          </x14:formula1>
          <xm:sqref>F94:F103 F9:F18 F23:F32 F38:F46 F52:F61 F80:F89 F67:F76 F108:F117 F122:F131 F136:F145 F150:F159 F164:F173</xm:sqref>
        </x14:dataValidation>
        <x14:dataValidation type="list" allowBlank="1" showInputMessage="1" showErrorMessage="1">
          <x14:formula1>
            <xm:f>'Data sheet'!$D$1:$D$7</xm:f>
          </x14:formula1>
          <xm:sqref>G9:G18 G94:G103 G23:G32 G38:G46 G52:G61 G80:G89 G67:G76 G108:G117 G122:G131 G136:G145 G150:G159 G164:G173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Q184"/>
  <sheetViews>
    <sheetView zoomScale="70" zoomScaleNormal="70" workbookViewId="0">
      <selection activeCell="Z141" sqref="Z141"/>
    </sheetView>
  </sheetViews>
  <sheetFormatPr defaultColWidth="9.140625" defaultRowHeight="15" x14ac:dyDescent="0.3"/>
  <cols>
    <col min="1" max="1" width="9.140625" style="18"/>
    <col min="2" max="2" width="20.28515625" style="175" customWidth="1"/>
    <col min="3" max="3" width="11.140625" style="176" customWidth="1"/>
    <col min="4" max="4" width="20" style="172" customWidth="1"/>
    <col min="5" max="5" width="20.7109375" style="172" customWidth="1"/>
    <col min="6" max="16384" width="9.140625" style="18"/>
  </cols>
  <sheetData>
    <row r="1" spans="2:5" x14ac:dyDescent="0.3">
      <c r="B1" s="170"/>
      <c r="C1" s="171"/>
    </row>
    <row r="2" spans="2:5" ht="36" x14ac:dyDescent="0.3">
      <c r="B2" s="173" t="s">
        <v>110</v>
      </c>
      <c r="C2" s="174"/>
    </row>
    <row r="3" spans="2:5" ht="36" x14ac:dyDescent="0.3">
      <c r="B3" s="179"/>
      <c r="C3" s="180"/>
      <c r="D3" s="181"/>
      <c r="E3" s="181"/>
    </row>
    <row r="4" spans="2:5" x14ac:dyDescent="0.3">
      <c r="B4" s="182"/>
      <c r="C4" s="183"/>
      <c r="D4" s="181"/>
      <c r="E4" s="181"/>
    </row>
    <row r="5" spans="2:5" x14ac:dyDescent="0.3">
      <c r="B5" s="182"/>
      <c r="C5" s="183"/>
      <c r="D5" s="181"/>
      <c r="E5" s="181"/>
    </row>
    <row r="6" spans="2:5" x14ac:dyDescent="0.3">
      <c r="B6" s="182"/>
      <c r="C6" s="183"/>
      <c r="D6" s="280" t="s">
        <v>10</v>
      </c>
      <c r="E6" s="280"/>
    </row>
    <row r="7" spans="2:5" x14ac:dyDescent="0.3">
      <c r="B7" s="261" t="s">
        <v>56</v>
      </c>
      <c r="C7" s="183"/>
      <c r="D7" s="281"/>
      <c r="E7" s="281"/>
    </row>
    <row r="8" spans="2:5" x14ac:dyDescent="0.3">
      <c r="B8" s="262" t="s">
        <v>0</v>
      </c>
      <c r="C8" s="263" t="s">
        <v>46</v>
      </c>
      <c r="D8" s="264" t="s">
        <v>48</v>
      </c>
      <c r="E8" s="151" t="s">
        <v>105</v>
      </c>
    </row>
    <row r="9" spans="2:5" x14ac:dyDescent="0.3">
      <c r="B9" s="265">
        <f>'Daily sales'!C9:C18</f>
        <v>43663</v>
      </c>
      <c r="C9" s="266">
        <f>'Daily sales'!D9:D18</f>
        <v>1</v>
      </c>
      <c r="D9" s="267">
        <f>'Daily sales'!O9:O18</f>
        <v>370</v>
      </c>
      <c r="E9" s="267">
        <f>'Daily sales'!P9:P18</f>
        <v>370</v>
      </c>
    </row>
    <row r="10" spans="2:5" x14ac:dyDescent="0.3">
      <c r="B10" s="265">
        <f>'Daily sales'!C10:C19</f>
        <v>43671</v>
      </c>
      <c r="C10" s="266">
        <f>'Daily sales'!D10:D19</f>
        <v>2</v>
      </c>
      <c r="D10" s="267">
        <f>'Daily sales'!O10:O19</f>
        <v>1150</v>
      </c>
      <c r="E10" s="267">
        <f>'Daily sales'!P10:P19</f>
        <v>1000</v>
      </c>
    </row>
    <row r="11" spans="2:5" x14ac:dyDescent="0.3">
      <c r="B11" s="265">
        <f>'Daily sales'!C11:C20</f>
        <v>0</v>
      </c>
      <c r="C11" s="266">
        <f>'Daily sales'!D11:D20</f>
        <v>0</v>
      </c>
      <c r="D11" s="267">
        <f>'Daily sales'!O11:O20</f>
        <v>0</v>
      </c>
      <c r="E11" s="267">
        <f>'Daily sales'!P11:P20</f>
        <v>0</v>
      </c>
    </row>
    <row r="12" spans="2:5" x14ac:dyDescent="0.3">
      <c r="B12" s="265">
        <f>'Daily sales'!C12:C21</f>
        <v>0</v>
      </c>
      <c r="C12" s="266">
        <f>'Daily sales'!D12:D21</f>
        <v>0</v>
      </c>
      <c r="D12" s="267">
        <f>'Daily sales'!O12:O21</f>
        <v>0</v>
      </c>
      <c r="E12" s="267">
        <f>'Daily sales'!P12:P21</f>
        <v>0</v>
      </c>
    </row>
    <row r="13" spans="2:5" x14ac:dyDescent="0.3">
      <c r="B13" s="268">
        <f>'Daily sales'!C13:C22</f>
        <v>0</v>
      </c>
      <c r="C13" s="269">
        <f>'Daily sales'!D13:D22</f>
        <v>0</v>
      </c>
      <c r="D13" s="270">
        <f>'Daily sales'!O13:O22</f>
        <v>0</v>
      </c>
      <c r="E13" s="267">
        <f>'Daily sales'!P13:P22</f>
        <v>0</v>
      </c>
    </row>
    <row r="14" spans="2:5" x14ac:dyDescent="0.3">
      <c r="B14" s="268">
        <f>'Daily sales'!C14:C23</f>
        <v>0</v>
      </c>
      <c r="C14" s="269">
        <f>'Daily sales'!D14:D23</f>
        <v>0</v>
      </c>
      <c r="D14" s="270">
        <f>'Daily sales'!O14:O23</f>
        <v>0</v>
      </c>
      <c r="E14" s="267">
        <f>'Daily sales'!P14:P23</f>
        <v>0</v>
      </c>
    </row>
    <row r="15" spans="2:5" x14ac:dyDescent="0.3">
      <c r="B15" s="268">
        <f>'Daily sales'!C15:C24</f>
        <v>0</v>
      </c>
      <c r="C15" s="269">
        <f>'Daily sales'!D15:D24</f>
        <v>0</v>
      </c>
      <c r="D15" s="270">
        <f>'Daily sales'!O15:O24</f>
        <v>0</v>
      </c>
      <c r="E15" s="267">
        <f>'Daily sales'!P15:P24</f>
        <v>0</v>
      </c>
    </row>
    <row r="16" spans="2:5" x14ac:dyDescent="0.3">
      <c r="B16" s="265">
        <f>'Daily sales'!C16:C25</f>
        <v>0</v>
      </c>
      <c r="C16" s="266">
        <f>'Daily sales'!D16:D25</f>
        <v>0</v>
      </c>
      <c r="D16" s="267">
        <f>'Daily sales'!O16:O25</f>
        <v>0</v>
      </c>
      <c r="E16" s="267">
        <f>'Daily sales'!P16:P25</f>
        <v>0</v>
      </c>
    </row>
    <row r="17" spans="1:17" x14ac:dyDescent="0.3">
      <c r="B17" s="265">
        <f>'Daily sales'!C17:C26</f>
        <v>0</v>
      </c>
      <c r="C17" s="271">
        <f>'Daily sales'!D17:D26</f>
        <v>0</v>
      </c>
      <c r="D17" s="272">
        <f>'Daily sales'!O17:O26</f>
        <v>0</v>
      </c>
      <c r="E17" s="267">
        <f>'Daily sales'!P17:P26</f>
        <v>0</v>
      </c>
    </row>
    <row r="18" spans="1:17" x14ac:dyDescent="0.3">
      <c r="B18" s="265">
        <f>'Daily sales'!C18:C27</f>
        <v>0</v>
      </c>
      <c r="C18" s="271">
        <f>'Daily sales'!D18:D27</f>
        <v>0</v>
      </c>
      <c r="D18" s="272">
        <f>'Daily sales'!O18:O27</f>
        <v>0</v>
      </c>
      <c r="E18" s="267">
        <f>'Daily sales'!P18:P27</f>
        <v>0</v>
      </c>
    </row>
    <row r="19" spans="1:17" x14ac:dyDescent="0.3">
      <c r="A19" s="130" t="s">
        <v>1</v>
      </c>
      <c r="B19" s="273"/>
      <c r="C19" s="274"/>
      <c r="D19" s="275">
        <f>SUBTOTAL(109,tblSalesData6[Total income])</f>
        <v>1520</v>
      </c>
      <c r="E19" s="275">
        <f>SUBTOTAL(109,tblSalesData6[Gross Profit])</f>
        <v>1370</v>
      </c>
    </row>
    <row r="20" spans="1:17" ht="15" customHeight="1" x14ac:dyDescent="0.3">
      <c r="B20" s="182"/>
      <c r="C20" s="183"/>
      <c r="D20" s="181"/>
      <c r="E20" s="181"/>
      <c r="H20" s="177"/>
      <c r="I20" s="177"/>
      <c r="J20" s="177"/>
      <c r="K20" s="177"/>
      <c r="L20" s="177"/>
      <c r="M20" s="177"/>
      <c r="N20" s="178"/>
      <c r="O20" s="178"/>
      <c r="P20" s="178"/>
      <c r="Q20" s="178"/>
    </row>
    <row r="21" spans="1:17" ht="15" customHeight="1" x14ac:dyDescent="0.3">
      <c r="B21" s="182"/>
      <c r="C21" s="183"/>
      <c r="D21" s="280" t="s">
        <v>10</v>
      </c>
      <c r="E21" s="280"/>
      <c r="H21" s="177"/>
      <c r="I21" s="177"/>
      <c r="J21" s="177"/>
      <c r="K21" s="177"/>
      <c r="L21" s="177"/>
      <c r="M21" s="177"/>
      <c r="N21" s="178"/>
      <c r="O21" s="178"/>
      <c r="P21" s="178"/>
      <c r="Q21" s="178"/>
    </row>
    <row r="22" spans="1:17" ht="15" customHeight="1" x14ac:dyDescent="0.3">
      <c r="B22" s="261" t="s">
        <v>57</v>
      </c>
      <c r="C22" s="183"/>
      <c r="D22" s="281"/>
      <c r="E22" s="281"/>
      <c r="H22" s="177"/>
      <c r="I22" s="177"/>
      <c r="J22" s="177"/>
      <c r="K22" s="177"/>
      <c r="L22" s="177"/>
      <c r="M22" s="177"/>
      <c r="N22" s="178"/>
      <c r="O22" s="178"/>
      <c r="P22" s="178"/>
      <c r="Q22" s="178"/>
    </row>
    <row r="23" spans="1:17" ht="15" customHeight="1" x14ac:dyDescent="0.3">
      <c r="B23" s="262" t="s">
        <v>0</v>
      </c>
      <c r="C23" s="263" t="s">
        <v>46</v>
      </c>
      <c r="D23" s="264" t="s">
        <v>48</v>
      </c>
      <c r="E23" s="151" t="s">
        <v>105</v>
      </c>
      <c r="F23" s="177"/>
      <c r="G23" s="177"/>
      <c r="H23" s="177"/>
      <c r="I23" s="177"/>
      <c r="J23" s="177"/>
      <c r="K23" s="177"/>
      <c r="L23" s="178"/>
      <c r="M23" s="178"/>
      <c r="N23" s="178"/>
      <c r="O23" s="178"/>
    </row>
    <row r="24" spans="1:17" x14ac:dyDescent="0.3">
      <c r="B24" s="265">
        <f>'Daily sales'!C23</f>
        <v>43684</v>
      </c>
      <c r="C24" s="266">
        <f>'Daily sales'!D23</f>
        <v>1</v>
      </c>
      <c r="D24" s="267">
        <f>'Daily sales'!O23</f>
        <v>350</v>
      </c>
      <c r="E24" s="267">
        <f>'Daily sales'!P23</f>
        <v>350</v>
      </c>
    </row>
    <row r="25" spans="1:17" x14ac:dyDescent="0.3">
      <c r="B25" s="265">
        <f>'Daily sales'!C24</f>
        <v>43693</v>
      </c>
      <c r="C25" s="266">
        <f>'Daily sales'!D24</f>
        <v>2</v>
      </c>
      <c r="D25" s="267">
        <f>'Daily sales'!O24</f>
        <v>600</v>
      </c>
      <c r="E25" s="267">
        <f>'Daily sales'!P24</f>
        <v>600</v>
      </c>
    </row>
    <row r="26" spans="1:17" x14ac:dyDescent="0.3">
      <c r="B26" s="265">
        <f>'Daily sales'!C25</f>
        <v>43704</v>
      </c>
      <c r="C26" s="266">
        <f>'Daily sales'!D25</f>
        <v>3</v>
      </c>
      <c r="D26" s="267">
        <f>'Daily sales'!O25</f>
        <v>250</v>
      </c>
      <c r="E26" s="267">
        <f>'Daily sales'!P25</f>
        <v>250</v>
      </c>
    </row>
    <row r="27" spans="1:17" x14ac:dyDescent="0.3">
      <c r="B27" s="268">
        <f>'Daily sales'!C26</f>
        <v>0</v>
      </c>
      <c r="C27" s="276">
        <f>'Daily sales'!D26</f>
        <v>0</v>
      </c>
      <c r="D27" s="277">
        <f>'Daily sales'!O26</f>
        <v>0</v>
      </c>
      <c r="E27" s="267">
        <f>'Daily sales'!P26</f>
        <v>0</v>
      </c>
    </row>
    <row r="28" spans="1:17" x14ac:dyDescent="0.3">
      <c r="B28" s="268">
        <f>'Daily sales'!C27</f>
        <v>0</v>
      </c>
      <c r="C28" s="276">
        <f>'Daily sales'!D27</f>
        <v>0</v>
      </c>
      <c r="D28" s="277">
        <f>'Daily sales'!O27</f>
        <v>0</v>
      </c>
      <c r="E28" s="267">
        <f>'Daily sales'!P27</f>
        <v>0</v>
      </c>
    </row>
    <row r="29" spans="1:17" x14ac:dyDescent="0.3">
      <c r="B29" s="268">
        <f>'Daily sales'!C28</f>
        <v>0</v>
      </c>
      <c r="C29" s="276">
        <f>'Daily sales'!D28</f>
        <v>0</v>
      </c>
      <c r="D29" s="277">
        <f>'Daily sales'!O28</f>
        <v>0</v>
      </c>
      <c r="E29" s="267">
        <f>'Daily sales'!P28</f>
        <v>0</v>
      </c>
    </row>
    <row r="30" spans="1:17" x14ac:dyDescent="0.3">
      <c r="B30" s="268">
        <f>'Daily sales'!C29</f>
        <v>0</v>
      </c>
      <c r="C30" s="276">
        <f>'Daily sales'!D29</f>
        <v>0</v>
      </c>
      <c r="D30" s="277">
        <f>'Daily sales'!O29</f>
        <v>0</v>
      </c>
      <c r="E30" s="267">
        <f>'Daily sales'!P29</f>
        <v>0</v>
      </c>
    </row>
    <row r="31" spans="1:17" x14ac:dyDescent="0.3">
      <c r="B31" s="268">
        <f>'Daily sales'!C30</f>
        <v>0</v>
      </c>
      <c r="C31" s="276">
        <f>'Daily sales'!D30</f>
        <v>0</v>
      </c>
      <c r="D31" s="277">
        <f>'Daily sales'!O30</f>
        <v>0</v>
      </c>
      <c r="E31" s="267">
        <f>'Daily sales'!P30</f>
        <v>0</v>
      </c>
    </row>
    <row r="32" spans="1:17" x14ac:dyDescent="0.3">
      <c r="B32" s="268">
        <f>'Daily sales'!C31</f>
        <v>0</v>
      </c>
      <c r="C32" s="276">
        <f>'Daily sales'!D31</f>
        <v>0</v>
      </c>
      <c r="D32" s="277">
        <f>'Daily sales'!O31</f>
        <v>0</v>
      </c>
      <c r="E32" s="267">
        <f>'Daily sales'!P31</f>
        <v>0</v>
      </c>
    </row>
    <row r="33" spans="1:5" x14ac:dyDescent="0.3">
      <c r="B33" s="265">
        <f>'Daily sales'!C32</f>
        <v>0</v>
      </c>
      <c r="C33" s="269">
        <f>'Daily sales'!D32</f>
        <v>0</v>
      </c>
      <c r="D33" s="270">
        <f>'Daily sales'!O32</f>
        <v>0</v>
      </c>
      <c r="E33" s="267">
        <f>'Daily sales'!P32</f>
        <v>0</v>
      </c>
    </row>
    <row r="34" spans="1:5" x14ac:dyDescent="0.3">
      <c r="B34" s="268">
        <f>'Daily sales'!C33</f>
        <v>0</v>
      </c>
      <c r="C34" s="276">
        <f>'Daily sales'!D33</f>
        <v>0</v>
      </c>
      <c r="D34" s="277">
        <f>'Daily sales'!O33</f>
        <v>0</v>
      </c>
      <c r="E34" s="267">
        <f>'Daily sales'!P33</f>
        <v>0</v>
      </c>
    </row>
    <row r="35" spans="1:5" x14ac:dyDescent="0.3">
      <c r="A35" s="130" t="s">
        <v>1</v>
      </c>
      <c r="B35" s="273"/>
      <c r="C35" s="274"/>
      <c r="D35" s="275">
        <f>SUBTOTAL(109,tblSalesData67[Total income])</f>
        <v>1200</v>
      </c>
      <c r="E35" s="275">
        <f>SUBTOTAL(109,tblSalesData67[Gross Profit])</f>
        <v>1200</v>
      </c>
    </row>
    <row r="36" spans="1:5" x14ac:dyDescent="0.3">
      <c r="B36" s="182"/>
      <c r="C36" s="183"/>
      <c r="D36" s="181"/>
      <c r="E36" s="181"/>
    </row>
    <row r="37" spans="1:5" x14ac:dyDescent="0.3">
      <c r="B37" s="182"/>
      <c r="C37" s="183"/>
      <c r="D37" s="280" t="s">
        <v>10</v>
      </c>
      <c r="E37" s="280"/>
    </row>
    <row r="38" spans="1:5" x14ac:dyDescent="0.3">
      <c r="B38" s="261" t="s">
        <v>58</v>
      </c>
      <c r="C38" s="183"/>
      <c r="D38" s="281"/>
      <c r="E38" s="281"/>
    </row>
    <row r="39" spans="1:5" x14ac:dyDescent="0.3">
      <c r="B39" s="262" t="s">
        <v>0</v>
      </c>
      <c r="C39" s="263" t="s">
        <v>46</v>
      </c>
      <c r="D39" s="264" t="s">
        <v>48</v>
      </c>
      <c r="E39" s="151" t="s">
        <v>105</v>
      </c>
    </row>
    <row r="40" spans="1:5" x14ac:dyDescent="0.3">
      <c r="B40" s="265">
        <f>'Daily sales'!C38</f>
        <v>43724</v>
      </c>
      <c r="C40" s="266">
        <f>'Daily sales'!D38</f>
        <v>1</v>
      </c>
      <c r="D40" s="267">
        <f>'Daily sales'!O38</f>
        <v>600</v>
      </c>
      <c r="E40" s="267">
        <f>'Daily sales'!P38</f>
        <v>600</v>
      </c>
    </row>
    <row r="41" spans="1:5" x14ac:dyDescent="0.3">
      <c r="B41" s="268">
        <f>'Daily sales'!C39</f>
        <v>43724</v>
      </c>
      <c r="C41" s="276">
        <f>'Daily sales'!D39</f>
        <v>2</v>
      </c>
      <c r="D41" s="277">
        <f>'Daily sales'!O39</f>
        <v>450</v>
      </c>
      <c r="E41" s="267">
        <f>'Daily sales'!P39</f>
        <v>450</v>
      </c>
    </row>
    <row r="42" spans="1:5" x14ac:dyDescent="0.3">
      <c r="B42" s="268">
        <f>'Daily sales'!C40</f>
        <v>43725</v>
      </c>
      <c r="C42" s="276">
        <f>'Daily sales'!D40</f>
        <v>3</v>
      </c>
      <c r="D42" s="277">
        <f>'Daily sales'!O40</f>
        <v>300</v>
      </c>
      <c r="E42" s="267">
        <f>'Daily sales'!P40</f>
        <v>300</v>
      </c>
    </row>
    <row r="43" spans="1:5" x14ac:dyDescent="0.3">
      <c r="B43" s="268">
        <f>'Daily sales'!C41</f>
        <v>43728</v>
      </c>
      <c r="C43" s="276">
        <f>'Daily sales'!D41</f>
        <v>4</v>
      </c>
      <c r="D43" s="277">
        <f>'Daily sales'!O41</f>
        <v>660</v>
      </c>
      <c r="E43" s="267">
        <f>'Daily sales'!P41</f>
        <v>510</v>
      </c>
    </row>
    <row r="44" spans="1:5" x14ac:dyDescent="0.3">
      <c r="B44" s="268">
        <f>'Daily sales'!C42</f>
        <v>43731</v>
      </c>
      <c r="C44" s="276">
        <f>'Daily sales'!D42</f>
        <v>5</v>
      </c>
      <c r="D44" s="277">
        <f>'Daily sales'!O42</f>
        <v>550</v>
      </c>
      <c r="E44" s="267">
        <f>'Daily sales'!P42</f>
        <v>550</v>
      </c>
    </row>
    <row r="45" spans="1:5" x14ac:dyDescent="0.3">
      <c r="B45" s="268">
        <f>'Daily sales'!C43</f>
        <v>43734</v>
      </c>
      <c r="C45" s="276">
        <f>'Daily sales'!D43</f>
        <v>6</v>
      </c>
      <c r="D45" s="277">
        <f>'Daily sales'!O43</f>
        <v>250</v>
      </c>
      <c r="E45" s="267">
        <f>'Daily sales'!P43</f>
        <v>250</v>
      </c>
    </row>
    <row r="46" spans="1:5" x14ac:dyDescent="0.3">
      <c r="B46" s="268">
        <f>'Daily sales'!C44</f>
        <v>0</v>
      </c>
      <c r="C46" s="276">
        <f>'Daily sales'!D44</f>
        <v>0</v>
      </c>
      <c r="D46" s="277">
        <f>'Daily sales'!O44</f>
        <v>0</v>
      </c>
      <c r="E46" s="267">
        <f>'Daily sales'!P44</f>
        <v>0</v>
      </c>
    </row>
    <row r="47" spans="1:5" x14ac:dyDescent="0.3">
      <c r="B47" s="268">
        <f>'Daily sales'!C45</f>
        <v>0</v>
      </c>
      <c r="C47" s="276">
        <f>'Daily sales'!D45</f>
        <v>0</v>
      </c>
      <c r="D47" s="277">
        <f>'Daily sales'!O45</f>
        <v>0</v>
      </c>
      <c r="E47" s="267">
        <f>'Daily sales'!P45</f>
        <v>0</v>
      </c>
    </row>
    <row r="48" spans="1:5" x14ac:dyDescent="0.3">
      <c r="B48" s="268">
        <f>'Daily sales'!C46</f>
        <v>0</v>
      </c>
      <c r="C48" s="276">
        <f>'Daily sales'!D46</f>
        <v>0</v>
      </c>
      <c r="D48" s="277">
        <f>'Daily sales'!O46</f>
        <v>0</v>
      </c>
      <c r="E48" s="267">
        <f>'Daily sales'!P46</f>
        <v>0</v>
      </c>
    </row>
    <row r="49" spans="1:5" x14ac:dyDescent="0.3">
      <c r="B49" s="268">
        <f>'Daily sales'!C47</f>
        <v>0</v>
      </c>
      <c r="C49" s="276">
        <f>'Daily sales'!D47</f>
        <v>0</v>
      </c>
      <c r="D49" s="277">
        <f>'Daily sales'!O47</f>
        <v>0</v>
      </c>
      <c r="E49" s="267">
        <f>'Daily sales'!P47</f>
        <v>0</v>
      </c>
    </row>
    <row r="50" spans="1:5" x14ac:dyDescent="0.3">
      <c r="A50" s="130" t="s">
        <v>1</v>
      </c>
      <c r="B50" s="273"/>
      <c r="C50" s="274"/>
      <c r="D50" s="275">
        <f>SUBTOTAL(109,tblSalesData6735[Total income])</f>
        <v>2810</v>
      </c>
      <c r="E50" s="275">
        <f>SUBTOTAL(109,tblSalesData6735[Gross Profit])</f>
        <v>2660</v>
      </c>
    </row>
    <row r="51" spans="1:5" x14ac:dyDescent="0.3">
      <c r="B51" s="190"/>
      <c r="C51" s="191"/>
      <c r="D51" s="181"/>
      <c r="E51" s="181"/>
    </row>
    <row r="52" spans="1:5" x14ac:dyDescent="0.3">
      <c r="B52" s="182"/>
      <c r="C52" s="183"/>
      <c r="D52" s="280" t="s">
        <v>10</v>
      </c>
      <c r="E52" s="280"/>
    </row>
    <row r="53" spans="1:5" x14ac:dyDescent="0.3">
      <c r="B53" s="261" t="s">
        <v>59</v>
      </c>
      <c r="C53" s="183"/>
      <c r="D53" s="281"/>
      <c r="E53" s="281"/>
    </row>
    <row r="54" spans="1:5" x14ac:dyDescent="0.3">
      <c r="B54" s="262" t="s">
        <v>0</v>
      </c>
      <c r="C54" s="263" t="s">
        <v>46</v>
      </c>
      <c r="D54" s="264" t="s">
        <v>48</v>
      </c>
      <c r="E54" s="151" t="s">
        <v>105</v>
      </c>
    </row>
    <row r="55" spans="1:5" x14ac:dyDescent="0.3">
      <c r="B55" s="278">
        <f>'Daily sales'!C52</f>
        <v>43722</v>
      </c>
      <c r="C55" s="269">
        <f>'Daily sales'!D52:D62</f>
        <v>0</v>
      </c>
      <c r="D55" s="270">
        <f>'Daily sales'!O52</f>
        <v>40</v>
      </c>
      <c r="E55" s="264">
        <f>'Daily sales'!P52</f>
        <v>40</v>
      </c>
    </row>
    <row r="56" spans="1:5" x14ac:dyDescent="0.3">
      <c r="B56" s="278">
        <f>'Daily sales'!C53</f>
        <v>43724</v>
      </c>
      <c r="C56" s="269">
        <f>'Daily sales'!D53:D63</f>
        <v>0</v>
      </c>
      <c r="D56" s="270">
        <f>'Daily sales'!O53</f>
        <v>40</v>
      </c>
      <c r="E56" s="264">
        <f>'Daily sales'!P53</f>
        <v>40</v>
      </c>
    </row>
    <row r="57" spans="1:5" x14ac:dyDescent="0.3">
      <c r="B57" s="278">
        <f>'Daily sales'!C54</f>
        <v>0</v>
      </c>
      <c r="C57" s="269">
        <f>'Daily sales'!D54:D64</f>
        <v>0</v>
      </c>
      <c r="D57" s="270">
        <f>'Daily sales'!O54</f>
        <v>0</v>
      </c>
      <c r="E57" s="264">
        <f>'Daily sales'!P54</f>
        <v>0</v>
      </c>
    </row>
    <row r="58" spans="1:5" x14ac:dyDescent="0.3">
      <c r="B58" s="278">
        <f>'Daily sales'!C55</f>
        <v>0</v>
      </c>
      <c r="C58" s="269">
        <f>'Daily sales'!D55:D65</f>
        <v>0</v>
      </c>
      <c r="D58" s="270">
        <f>'Daily sales'!O55</f>
        <v>0</v>
      </c>
      <c r="E58" s="264">
        <f>'Daily sales'!P55</f>
        <v>0</v>
      </c>
    </row>
    <row r="59" spans="1:5" x14ac:dyDescent="0.3">
      <c r="B59" s="278">
        <f>'Daily sales'!C56</f>
        <v>0</v>
      </c>
      <c r="C59" s="269">
        <f>'Daily sales'!D56:D66</f>
        <v>0</v>
      </c>
      <c r="D59" s="270">
        <f>'Daily sales'!O56</f>
        <v>0</v>
      </c>
      <c r="E59" s="264">
        <f>'Daily sales'!P56</f>
        <v>0</v>
      </c>
    </row>
    <row r="60" spans="1:5" x14ac:dyDescent="0.3">
      <c r="B60" s="278">
        <f>'Daily sales'!C57</f>
        <v>0</v>
      </c>
      <c r="C60" s="269">
        <f>'Daily sales'!D57:D67</f>
        <v>0</v>
      </c>
      <c r="D60" s="270">
        <f>'Daily sales'!O57</f>
        <v>0</v>
      </c>
      <c r="E60" s="264">
        <f>'Daily sales'!P57</f>
        <v>0</v>
      </c>
    </row>
    <row r="61" spans="1:5" x14ac:dyDescent="0.3">
      <c r="B61" s="278">
        <f>'Daily sales'!C58</f>
        <v>0</v>
      </c>
      <c r="C61" s="269">
        <f>'Daily sales'!D58:D68</f>
        <v>0</v>
      </c>
      <c r="D61" s="270">
        <f>'Daily sales'!O58</f>
        <v>0</v>
      </c>
      <c r="E61" s="264">
        <f>'Daily sales'!P58</f>
        <v>0</v>
      </c>
    </row>
    <row r="62" spans="1:5" x14ac:dyDescent="0.3">
      <c r="B62" s="278">
        <f>'Daily sales'!C59</f>
        <v>0</v>
      </c>
      <c r="C62" s="269">
        <f>'Daily sales'!D59:D69</f>
        <v>0</v>
      </c>
      <c r="D62" s="270">
        <f>'Daily sales'!O59</f>
        <v>0</v>
      </c>
      <c r="E62" s="264">
        <f>'Daily sales'!P59</f>
        <v>0</v>
      </c>
    </row>
    <row r="63" spans="1:5" x14ac:dyDescent="0.3">
      <c r="B63" s="265">
        <f>'Daily sales'!C60</f>
        <v>0</v>
      </c>
      <c r="C63" s="266">
        <f>'Daily sales'!D60:D70</f>
        <v>0</v>
      </c>
      <c r="D63" s="267">
        <f>'Daily sales'!O60</f>
        <v>0</v>
      </c>
      <c r="E63" s="267">
        <f>'Daily sales'!P60</f>
        <v>0</v>
      </c>
    </row>
    <row r="64" spans="1:5" x14ac:dyDescent="0.3">
      <c r="B64" s="268">
        <f>'Daily sales'!C61</f>
        <v>0</v>
      </c>
      <c r="C64" s="269">
        <f>'Daily sales'!D61:D71</f>
        <v>0</v>
      </c>
      <c r="D64" s="270">
        <f>'Daily sales'!O61</f>
        <v>0</v>
      </c>
      <c r="E64" s="267">
        <f>'Daily sales'!P61</f>
        <v>0</v>
      </c>
    </row>
    <row r="65" spans="1:5" x14ac:dyDescent="0.3">
      <c r="B65" s="265">
        <f>'Daily sales'!C62</f>
        <v>0</v>
      </c>
      <c r="C65" s="266">
        <f>'Daily sales'!D62:D72</f>
        <v>0</v>
      </c>
      <c r="D65" s="267">
        <f>'Daily sales'!O62</f>
        <v>0</v>
      </c>
      <c r="E65" s="267">
        <f>'Daily sales'!P62</f>
        <v>0</v>
      </c>
    </row>
    <row r="66" spans="1:5" x14ac:dyDescent="0.3">
      <c r="A66" s="130" t="s">
        <v>1</v>
      </c>
      <c r="B66" s="273"/>
      <c r="C66" s="274"/>
      <c r="D66" s="275">
        <f>SUBTOTAL(109,tblSalesData673536[Total income])</f>
        <v>80</v>
      </c>
      <c r="E66" s="275">
        <f>SUBTOTAL(109,tblSalesData673536[Gross Profit])</f>
        <v>80</v>
      </c>
    </row>
    <row r="67" spans="1:5" x14ac:dyDescent="0.3">
      <c r="B67" s="190"/>
      <c r="C67" s="191"/>
      <c r="D67" s="181"/>
      <c r="E67" s="181"/>
    </row>
    <row r="68" spans="1:5" x14ac:dyDescent="0.3">
      <c r="B68" s="182"/>
      <c r="C68" s="183"/>
      <c r="D68" s="280" t="s">
        <v>10</v>
      </c>
      <c r="E68" s="280"/>
    </row>
    <row r="69" spans="1:5" x14ac:dyDescent="0.3">
      <c r="B69" s="261" t="s">
        <v>60</v>
      </c>
      <c r="C69" s="183"/>
      <c r="D69" s="281"/>
      <c r="E69" s="281"/>
    </row>
    <row r="70" spans="1:5" x14ac:dyDescent="0.3">
      <c r="B70" s="262" t="s">
        <v>0</v>
      </c>
      <c r="C70" s="263" t="s">
        <v>46</v>
      </c>
      <c r="D70" s="264" t="s">
        <v>48</v>
      </c>
      <c r="E70" s="151" t="s">
        <v>105</v>
      </c>
    </row>
    <row r="71" spans="1:5" x14ac:dyDescent="0.3">
      <c r="B71" s="278">
        <f>'Daily sales'!C67</f>
        <v>0</v>
      </c>
      <c r="C71" s="269">
        <f>'Daily sales'!D67</f>
        <v>0</v>
      </c>
      <c r="D71" s="270">
        <f>'Daily sales'!O67</f>
        <v>0</v>
      </c>
      <c r="E71" s="264">
        <f>'Daily sales'!P67</f>
        <v>0</v>
      </c>
    </row>
    <row r="72" spans="1:5" x14ac:dyDescent="0.3">
      <c r="B72" s="278">
        <f>'Daily sales'!C68</f>
        <v>0</v>
      </c>
      <c r="C72" s="269">
        <f>'Daily sales'!D68</f>
        <v>0</v>
      </c>
      <c r="D72" s="270">
        <f>'Daily sales'!O68</f>
        <v>0</v>
      </c>
      <c r="E72" s="264">
        <f>'Daily sales'!P68</f>
        <v>0</v>
      </c>
    </row>
    <row r="73" spans="1:5" x14ac:dyDescent="0.3">
      <c r="B73" s="278">
        <f>'Daily sales'!C69</f>
        <v>0</v>
      </c>
      <c r="C73" s="269">
        <f>'Daily sales'!D69</f>
        <v>0</v>
      </c>
      <c r="D73" s="270">
        <f>'Daily sales'!O69</f>
        <v>0</v>
      </c>
      <c r="E73" s="264">
        <f>'Daily sales'!P69</f>
        <v>0</v>
      </c>
    </row>
    <row r="74" spans="1:5" x14ac:dyDescent="0.3">
      <c r="B74" s="278">
        <f>'Daily sales'!C70</f>
        <v>0</v>
      </c>
      <c r="C74" s="269">
        <f>'Daily sales'!D70</f>
        <v>0</v>
      </c>
      <c r="D74" s="270">
        <f>'Daily sales'!O70</f>
        <v>0</v>
      </c>
      <c r="E74" s="264">
        <f>'Daily sales'!P70</f>
        <v>0</v>
      </c>
    </row>
    <row r="75" spans="1:5" x14ac:dyDescent="0.3">
      <c r="B75" s="278">
        <f>'Daily sales'!C71</f>
        <v>0</v>
      </c>
      <c r="C75" s="269">
        <f>'Daily sales'!D71</f>
        <v>0</v>
      </c>
      <c r="D75" s="270">
        <f>'Daily sales'!O71</f>
        <v>0</v>
      </c>
      <c r="E75" s="264">
        <f>'Daily sales'!P71</f>
        <v>0</v>
      </c>
    </row>
    <row r="76" spans="1:5" x14ac:dyDescent="0.3">
      <c r="B76" s="278">
        <f>'Daily sales'!C72</f>
        <v>0</v>
      </c>
      <c r="C76" s="269">
        <f>'Daily sales'!D72</f>
        <v>0</v>
      </c>
      <c r="D76" s="270">
        <f>'Daily sales'!O72</f>
        <v>0</v>
      </c>
      <c r="E76" s="264">
        <f>'Daily sales'!P72</f>
        <v>0</v>
      </c>
    </row>
    <row r="77" spans="1:5" x14ac:dyDescent="0.3">
      <c r="B77" s="278">
        <f>'Daily sales'!C73</f>
        <v>0</v>
      </c>
      <c r="C77" s="269">
        <f>'Daily sales'!D73</f>
        <v>0</v>
      </c>
      <c r="D77" s="270">
        <f>'Daily sales'!O73</f>
        <v>0</v>
      </c>
      <c r="E77" s="264">
        <f>'Daily sales'!P73</f>
        <v>0</v>
      </c>
    </row>
    <row r="78" spans="1:5" x14ac:dyDescent="0.3">
      <c r="B78" s="278">
        <f>'Daily sales'!C74</f>
        <v>0</v>
      </c>
      <c r="C78" s="269">
        <f>'Daily sales'!D74</f>
        <v>0</v>
      </c>
      <c r="D78" s="270">
        <f>'Daily sales'!O74</f>
        <v>0</v>
      </c>
      <c r="E78" s="264">
        <f>'Daily sales'!P74</f>
        <v>0</v>
      </c>
    </row>
    <row r="79" spans="1:5" x14ac:dyDescent="0.3">
      <c r="B79" s="278">
        <f>'Daily sales'!C75</f>
        <v>0</v>
      </c>
      <c r="C79" s="269">
        <f>'Daily sales'!D75</f>
        <v>0</v>
      </c>
      <c r="D79" s="270">
        <f>'Daily sales'!O75</f>
        <v>0</v>
      </c>
      <c r="E79" s="264">
        <f>'Daily sales'!P75</f>
        <v>0</v>
      </c>
    </row>
    <row r="80" spans="1:5" x14ac:dyDescent="0.3">
      <c r="B80" s="265">
        <f>'Daily sales'!C76</f>
        <v>0</v>
      </c>
      <c r="C80" s="266">
        <f>'Daily sales'!D76</f>
        <v>0</v>
      </c>
      <c r="D80" s="267">
        <f>'Daily sales'!O76</f>
        <v>0</v>
      </c>
      <c r="E80" s="267">
        <f>'Daily sales'!P76</f>
        <v>0</v>
      </c>
    </row>
    <row r="81" spans="1:5" x14ac:dyDescent="0.3">
      <c r="A81" s="130" t="s">
        <v>1</v>
      </c>
      <c r="B81" s="273"/>
      <c r="C81" s="274"/>
      <c r="D81" s="275">
        <f>SUBTOTAL(109,tblSalesData6737[Total income])</f>
        <v>0</v>
      </c>
      <c r="E81" s="275">
        <f>SUBTOTAL(109,tblSalesData6737[Gross Profit])</f>
        <v>0</v>
      </c>
    </row>
    <row r="82" spans="1:5" x14ac:dyDescent="0.3">
      <c r="B82" s="182"/>
      <c r="C82" s="183"/>
      <c r="D82" s="181"/>
      <c r="E82" s="181"/>
    </row>
    <row r="83" spans="1:5" x14ac:dyDescent="0.3">
      <c r="B83" s="182"/>
      <c r="C83" s="183"/>
      <c r="D83" s="280" t="s">
        <v>10</v>
      </c>
      <c r="E83" s="280"/>
    </row>
    <row r="84" spans="1:5" x14ac:dyDescent="0.3">
      <c r="B84" s="261" t="s">
        <v>61</v>
      </c>
      <c r="C84" s="183"/>
      <c r="D84" s="281"/>
      <c r="E84" s="281"/>
    </row>
    <row r="85" spans="1:5" x14ac:dyDescent="0.3">
      <c r="B85" s="262" t="s">
        <v>0</v>
      </c>
      <c r="C85" s="263" t="s">
        <v>46</v>
      </c>
      <c r="D85" s="264" t="s">
        <v>48</v>
      </c>
      <c r="E85" s="151" t="s">
        <v>105</v>
      </c>
    </row>
    <row r="86" spans="1:5" x14ac:dyDescent="0.3">
      <c r="B86" s="278">
        <f>'Daily sales'!C80</f>
        <v>0</v>
      </c>
      <c r="C86" s="269">
        <f>'Daily sales'!D80</f>
        <v>0</v>
      </c>
      <c r="D86" s="270">
        <f>'Daily sales'!O80</f>
        <v>0</v>
      </c>
      <c r="E86" s="264">
        <f>'Daily sales'!P80</f>
        <v>0</v>
      </c>
    </row>
    <row r="87" spans="1:5" x14ac:dyDescent="0.3">
      <c r="B87" s="278">
        <f>'Daily sales'!C81</f>
        <v>0</v>
      </c>
      <c r="C87" s="269">
        <f>'Daily sales'!D81</f>
        <v>0</v>
      </c>
      <c r="D87" s="270">
        <f>'Daily sales'!O81</f>
        <v>0</v>
      </c>
      <c r="E87" s="264">
        <f>'Daily sales'!P81</f>
        <v>0</v>
      </c>
    </row>
    <row r="88" spans="1:5" x14ac:dyDescent="0.3">
      <c r="B88" s="278">
        <f>'Daily sales'!C82</f>
        <v>0</v>
      </c>
      <c r="C88" s="269">
        <f>'Daily sales'!D82</f>
        <v>0</v>
      </c>
      <c r="D88" s="270">
        <f>'Daily sales'!O82</f>
        <v>0</v>
      </c>
      <c r="E88" s="264">
        <f>'Daily sales'!P82</f>
        <v>0</v>
      </c>
    </row>
    <row r="89" spans="1:5" x14ac:dyDescent="0.3">
      <c r="B89" s="278">
        <f>'Daily sales'!C83</f>
        <v>0</v>
      </c>
      <c r="C89" s="269">
        <f>'Daily sales'!D83</f>
        <v>0</v>
      </c>
      <c r="D89" s="270">
        <f>'Daily sales'!O83</f>
        <v>0</v>
      </c>
      <c r="E89" s="264">
        <f>'Daily sales'!P83</f>
        <v>0</v>
      </c>
    </row>
    <row r="90" spans="1:5" x14ac:dyDescent="0.3">
      <c r="B90" s="278">
        <f>'Daily sales'!C84</f>
        <v>0</v>
      </c>
      <c r="C90" s="269">
        <f>'Daily sales'!D84</f>
        <v>0</v>
      </c>
      <c r="D90" s="270">
        <f>'Daily sales'!O84</f>
        <v>0</v>
      </c>
      <c r="E90" s="264">
        <f>'Daily sales'!P84</f>
        <v>0</v>
      </c>
    </row>
    <row r="91" spans="1:5" x14ac:dyDescent="0.3">
      <c r="B91" s="278">
        <f>'Daily sales'!C85</f>
        <v>0</v>
      </c>
      <c r="C91" s="269">
        <f>'Daily sales'!D85</f>
        <v>0</v>
      </c>
      <c r="D91" s="270">
        <f>'Daily sales'!O85</f>
        <v>0</v>
      </c>
      <c r="E91" s="264">
        <f>'Daily sales'!P85</f>
        <v>0</v>
      </c>
    </row>
    <row r="92" spans="1:5" x14ac:dyDescent="0.3">
      <c r="B92" s="278">
        <f>'Daily sales'!C86</f>
        <v>0</v>
      </c>
      <c r="C92" s="269">
        <f>'Daily sales'!D86</f>
        <v>0</v>
      </c>
      <c r="D92" s="270">
        <f>'Daily sales'!O86</f>
        <v>0</v>
      </c>
      <c r="E92" s="264">
        <f>'Daily sales'!P86</f>
        <v>0</v>
      </c>
    </row>
    <row r="93" spans="1:5" x14ac:dyDescent="0.3">
      <c r="B93" s="278">
        <f>'Daily sales'!C87</f>
        <v>0</v>
      </c>
      <c r="C93" s="269">
        <f>'Daily sales'!D87</f>
        <v>0</v>
      </c>
      <c r="D93" s="270">
        <f>'Daily sales'!O87</f>
        <v>0</v>
      </c>
      <c r="E93" s="264">
        <f>'Daily sales'!P87</f>
        <v>0</v>
      </c>
    </row>
    <row r="94" spans="1:5" x14ac:dyDescent="0.3">
      <c r="B94" s="265">
        <f>'Daily sales'!C88</f>
        <v>0</v>
      </c>
      <c r="C94" s="266">
        <f>'Daily sales'!D88</f>
        <v>0</v>
      </c>
      <c r="D94" s="267">
        <f>'Daily sales'!O88</f>
        <v>0</v>
      </c>
      <c r="E94" s="267">
        <f>'Daily sales'!P88</f>
        <v>0</v>
      </c>
    </row>
    <row r="95" spans="1:5" x14ac:dyDescent="0.3">
      <c r="B95" s="265">
        <f>'Daily sales'!C89</f>
        <v>0</v>
      </c>
      <c r="C95" s="266">
        <f>'Daily sales'!D89</f>
        <v>0</v>
      </c>
      <c r="D95" s="267">
        <f>'Daily sales'!O89</f>
        <v>0</v>
      </c>
      <c r="E95" s="267">
        <f>'Daily sales'!P89</f>
        <v>0</v>
      </c>
    </row>
    <row r="96" spans="1:5" x14ac:dyDescent="0.3">
      <c r="A96" s="130" t="s">
        <v>1</v>
      </c>
      <c r="B96" s="273"/>
      <c r="C96" s="274"/>
      <c r="D96" s="275">
        <f>SUBTOTAL(109,tblSalesData673538[Total income])</f>
        <v>0</v>
      </c>
      <c r="E96" s="275">
        <f>SUBTOTAL(109,tblSalesData673538[Gross Profit])</f>
        <v>0</v>
      </c>
    </row>
    <row r="97" spans="1:5" x14ac:dyDescent="0.3">
      <c r="B97" s="182"/>
      <c r="C97" s="183"/>
      <c r="D97" s="280" t="s">
        <v>10</v>
      </c>
      <c r="E97" s="280"/>
    </row>
    <row r="98" spans="1:5" x14ac:dyDescent="0.3">
      <c r="B98" s="261" t="s">
        <v>62</v>
      </c>
      <c r="C98" s="183"/>
      <c r="D98" s="281"/>
      <c r="E98" s="281"/>
    </row>
    <row r="99" spans="1:5" x14ac:dyDescent="0.3">
      <c r="B99" s="262" t="s">
        <v>0</v>
      </c>
      <c r="C99" s="263" t="s">
        <v>46</v>
      </c>
      <c r="D99" s="264" t="s">
        <v>48</v>
      </c>
      <c r="E99" s="151" t="s">
        <v>105</v>
      </c>
    </row>
    <row r="100" spans="1:5" x14ac:dyDescent="0.3">
      <c r="B100" s="278">
        <f>'Daily sales'!C94</f>
        <v>0</v>
      </c>
      <c r="C100" s="269">
        <f>'Daily sales'!D94</f>
        <v>0</v>
      </c>
      <c r="D100" s="270">
        <f>'Daily sales'!O94</f>
        <v>0</v>
      </c>
      <c r="E100" s="264">
        <f>'Daily sales'!P94</f>
        <v>0</v>
      </c>
    </row>
    <row r="101" spans="1:5" x14ac:dyDescent="0.3">
      <c r="B101" s="278">
        <f>'Daily sales'!C95</f>
        <v>0</v>
      </c>
      <c r="C101" s="269">
        <f>'Daily sales'!D95</f>
        <v>0</v>
      </c>
      <c r="D101" s="270">
        <f>'Daily sales'!O95</f>
        <v>0</v>
      </c>
      <c r="E101" s="264">
        <f>'Daily sales'!P95</f>
        <v>0</v>
      </c>
    </row>
    <row r="102" spans="1:5" x14ac:dyDescent="0.3">
      <c r="B102" s="278">
        <f>'Daily sales'!C96</f>
        <v>0</v>
      </c>
      <c r="C102" s="269">
        <f>'Daily sales'!D96</f>
        <v>0</v>
      </c>
      <c r="D102" s="270">
        <f>'Daily sales'!O96</f>
        <v>0</v>
      </c>
      <c r="E102" s="264">
        <f>'Daily sales'!P96</f>
        <v>0</v>
      </c>
    </row>
    <row r="103" spans="1:5" x14ac:dyDescent="0.3">
      <c r="B103" s="278">
        <f>'Daily sales'!C97</f>
        <v>0</v>
      </c>
      <c r="C103" s="269">
        <f>'Daily sales'!D97</f>
        <v>0</v>
      </c>
      <c r="D103" s="270">
        <f>'Daily sales'!O97</f>
        <v>0</v>
      </c>
      <c r="E103" s="264">
        <f>'Daily sales'!P97</f>
        <v>0</v>
      </c>
    </row>
    <row r="104" spans="1:5" x14ac:dyDescent="0.3">
      <c r="B104" s="278">
        <f>'Daily sales'!C98</f>
        <v>0</v>
      </c>
      <c r="C104" s="269">
        <f>'Daily sales'!D98</f>
        <v>0</v>
      </c>
      <c r="D104" s="270">
        <f>'Daily sales'!O98</f>
        <v>0</v>
      </c>
      <c r="E104" s="264">
        <f>'Daily sales'!P98</f>
        <v>0</v>
      </c>
    </row>
    <row r="105" spans="1:5" x14ac:dyDescent="0.3">
      <c r="B105" s="278">
        <f>'Daily sales'!C99</f>
        <v>0</v>
      </c>
      <c r="C105" s="269">
        <f>'Daily sales'!D99</f>
        <v>0</v>
      </c>
      <c r="D105" s="270">
        <f>'Daily sales'!O99</f>
        <v>0</v>
      </c>
      <c r="E105" s="264">
        <f>'Daily sales'!P99</f>
        <v>0</v>
      </c>
    </row>
    <row r="106" spans="1:5" x14ac:dyDescent="0.3">
      <c r="B106" s="278">
        <f>'Daily sales'!C100</f>
        <v>0</v>
      </c>
      <c r="C106" s="269">
        <f>'Daily sales'!D100</f>
        <v>0</v>
      </c>
      <c r="D106" s="270">
        <f>'Daily sales'!O100</f>
        <v>0</v>
      </c>
      <c r="E106" s="264">
        <f>'Daily sales'!P100</f>
        <v>0</v>
      </c>
    </row>
    <row r="107" spans="1:5" x14ac:dyDescent="0.3">
      <c r="B107" s="278">
        <f>'Daily sales'!C101</f>
        <v>0</v>
      </c>
      <c r="C107" s="269">
        <f>'Daily sales'!D101</f>
        <v>0</v>
      </c>
      <c r="D107" s="270">
        <f>'Daily sales'!O101</f>
        <v>0</v>
      </c>
      <c r="E107" s="264">
        <f>'Daily sales'!P101</f>
        <v>0</v>
      </c>
    </row>
    <row r="108" spans="1:5" x14ac:dyDescent="0.3">
      <c r="B108" s="265">
        <f>'Daily sales'!C102</f>
        <v>0</v>
      </c>
      <c r="C108" s="266">
        <f>'Daily sales'!D102</f>
        <v>0</v>
      </c>
      <c r="D108" s="267">
        <f>'Daily sales'!O102</f>
        <v>0</v>
      </c>
      <c r="E108" s="267">
        <f>'Daily sales'!P102</f>
        <v>0</v>
      </c>
    </row>
    <row r="109" spans="1:5" x14ac:dyDescent="0.3">
      <c r="B109" s="265">
        <f>'Daily sales'!C103</f>
        <v>0</v>
      </c>
      <c r="C109" s="266">
        <f>'Daily sales'!D103</f>
        <v>0</v>
      </c>
      <c r="D109" s="267">
        <f>'Daily sales'!O103</f>
        <v>0</v>
      </c>
      <c r="E109" s="267">
        <f>'Daily sales'!P103</f>
        <v>0</v>
      </c>
    </row>
    <row r="110" spans="1:5" x14ac:dyDescent="0.3">
      <c r="A110" s="130" t="s">
        <v>1</v>
      </c>
      <c r="B110" s="273"/>
      <c r="C110" s="274"/>
      <c r="D110" s="275">
        <f>SUBTOTAL(109,tblSalesData67353639[Total income])</f>
        <v>0</v>
      </c>
      <c r="E110" s="275">
        <f>SUBTOTAL(109,tblSalesData67353639[Gross Profit])</f>
        <v>0</v>
      </c>
    </row>
    <row r="111" spans="1:5" x14ac:dyDescent="0.3">
      <c r="B111" s="182"/>
      <c r="C111" s="183"/>
      <c r="D111" s="280" t="s">
        <v>10</v>
      </c>
      <c r="E111" s="280"/>
    </row>
    <row r="112" spans="1:5" x14ac:dyDescent="0.3">
      <c r="B112" s="261" t="s">
        <v>63</v>
      </c>
      <c r="C112" s="183"/>
      <c r="D112" s="281"/>
      <c r="E112" s="281"/>
    </row>
    <row r="113" spans="1:5" x14ac:dyDescent="0.3">
      <c r="B113" s="262" t="s">
        <v>0</v>
      </c>
      <c r="C113" s="263" t="s">
        <v>46</v>
      </c>
      <c r="D113" s="264" t="s">
        <v>48</v>
      </c>
      <c r="E113" s="151" t="s">
        <v>105</v>
      </c>
    </row>
    <row r="114" spans="1:5" x14ac:dyDescent="0.3">
      <c r="B114" s="278">
        <f>'Daily sales'!C108</f>
        <v>0</v>
      </c>
      <c r="C114" s="269">
        <f>'Daily sales'!D108</f>
        <v>0</v>
      </c>
      <c r="D114" s="270">
        <f>'Daily sales'!O108</f>
        <v>0</v>
      </c>
      <c r="E114" s="264">
        <f>'Daily sales'!P108</f>
        <v>0</v>
      </c>
    </row>
    <row r="115" spans="1:5" x14ac:dyDescent="0.3">
      <c r="B115" s="278">
        <f>'Daily sales'!C109</f>
        <v>0</v>
      </c>
      <c r="C115" s="269">
        <f>'Daily sales'!D109</f>
        <v>0</v>
      </c>
      <c r="D115" s="270">
        <f>'Daily sales'!O109</f>
        <v>0</v>
      </c>
      <c r="E115" s="264">
        <f>'Daily sales'!P109</f>
        <v>0</v>
      </c>
    </row>
    <row r="116" spans="1:5" x14ac:dyDescent="0.3">
      <c r="B116" s="278">
        <f>'Daily sales'!C110</f>
        <v>0</v>
      </c>
      <c r="C116" s="269">
        <f>'Daily sales'!D110</f>
        <v>0</v>
      </c>
      <c r="D116" s="270">
        <f>'Daily sales'!O110</f>
        <v>0</v>
      </c>
      <c r="E116" s="264">
        <f>'Daily sales'!P110</f>
        <v>0</v>
      </c>
    </row>
    <row r="117" spans="1:5" x14ac:dyDescent="0.3">
      <c r="B117" s="278">
        <f>'Daily sales'!C111</f>
        <v>0</v>
      </c>
      <c r="C117" s="269">
        <f>'Daily sales'!D111</f>
        <v>0</v>
      </c>
      <c r="D117" s="270">
        <f>'Daily sales'!O111</f>
        <v>0</v>
      </c>
      <c r="E117" s="264">
        <f>'Daily sales'!P111</f>
        <v>0</v>
      </c>
    </row>
    <row r="118" spans="1:5" x14ac:dyDescent="0.3">
      <c r="B118" s="278">
        <f>'Daily sales'!C112</f>
        <v>0</v>
      </c>
      <c r="C118" s="269">
        <f>'Daily sales'!D112</f>
        <v>0</v>
      </c>
      <c r="D118" s="270">
        <f>'Daily sales'!O112</f>
        <v>0</v>
      </c>
      <c r="E118" s="264">
        <f>'Daily sales'!P112</f>
        <v>0</v>
      </c>
    </row>
    <row r="119" spans="1:5" x14ac:dyDescent="0.3">
      <c r="B119" s="278">
        <f>'Daily sales'!C113</f>
        <v>0</v>
      </c>
      <c r="C119" s="269">
        <f>'Daily sales'!D113</f>
        <v>0</v>
      </c>
      <c r="D119" s="270">
        <f>'Daily sales'!O113</f>
        <v>0</v>
      </c>
      <c r="E119" s="264">
        <f>'Daily sales'!P113</f>
        <v>0</v>
      </c>
    </row>
    <row r="120" spans="1:5" x14ac:dyDescent="0.3">
      <c r="B120" s="278">
        <f>'Daily sales'!C114</f>
        <v>0</v>
      </c>
      <c r="C120" s="269">
        <f>'Daily sales'!D114</f>
        <v>0</v>
      </c>
      <c r="D120" s="270">
        <f>'Daily sales'!O114</f>
        <v>0</v>
      </c>
      <c r="E120" s="264">
        <f>'Daily sales'!P114</f>
        <v>0</v>
      </c>
    </row>
    <row r="121" spans="1:5" x14ac:dyDescent="0.3">
      <c r="B121" s="278">
        <f>'Daily sales'!C115</f>
        <v>0</v>
      </c>
      <c r="C121" s="269">
        <f>'Daily sales'!D115</f>
        <v>0</v>
      </c>
      <c r="D121" s="270">
        <f>'Daily sales'!O115</f>
        <v>0</v>
      </c>
      <c r="E121" s="264">
        <f>'Daily sales'!P115</f>
        <v>0</v>
      </c>
    </row>
    <row r="122" spans="1:5" x14ac:dyDescent="0.3">
      <c r="B122" s="265">
        <f>'Daily sales'!C116</f>
        <v>0</v>
      </c>
      <c r="C122" s="266">
        <f>'Daily sales'!D116</f>
        <v>0</v>
      </c>
      <c r="D122" s="267">
        <f>'Daily sales'!O116</f>
        <v>0</v>
      </c>
      <c r="E122" s="267">
        <f>'Daily sales'!P116</f>
        <v>0</v>
      </c>
    </row>
    <row r="123" spans="1:5" x14ac:dyDescent="0.3">
      <c r="B123" s="265">
        <f>'Daily sales'!C117</f>
        <v>0</v>
      </c>
      <c r="C123" s="266">
        <f>'Daily sales'!D117</f>
        <v>0</v>
      </c>
      <c r="D123" s="267">
        <f>'Daily sales'!O117</f>
        <v>0</v>
      </c>
      <c r="E123" s="267">
        <f>'Daily sales'!P117</f>
        <v>0</v>
      </c>
    </row>
    <row r="124" spans="1:5" x14ac:dyDescent="0.3">
      <c r="A124" s="130" t="s">
        <v>1</v>
      </c>
      <c r="B124" s="273"/>
      <c r="C124" s="274"/>
      <c r="D124" s="275">
        <f>SUBTOTAL(109,tblSalesData673740[Total income])</f>
        <v>0</v>
      </c>
      <c r="E124" s="275">
        <f>SUBTOTAL(109,tblSalesData673740[Gross Profit])</f>
        <v>0</v>
      </c>
    </row>
    <row r="125" spans="1:5" x14ac:dyDescent="0.3">
      <c r="B125" s="182"/>
      <c r="C125" s="183"/>
      <c r="D125" s="181"/>
      <c r="E125" s="181"/>
    </row>
    <row r="126" spans="1:5" x14ac:dyDescent="0.3">
      <c r="B126" s="182"/>
      <c r="C126" s="183"/>
      <c r="D126" s="280" t="s">
        <v>10</v>
      </c>
      <c r="E126" s="280"/>
    </row>
    <row r="127" spans="1:5" x14ac:dyDescent="0.3">
      <c r="B127" s="261" t="s">
        <v>64</v>
      </c>
      <c r="C127" s="183"/>
      <c r="D127" s="281"/>
      <c r="E127" s="281"/>
    </row>
    <row r="128" spans="1:5" x14ac:dyDescent="0.3">
      <c r="B128" s="262" t="s">
        <v>0</v>
      </c>
      <c r="C128" s="263" t="s">
        <v>46</v>
      </c>
      <c r="D128" s="264" t="s">
        <v>48</v>
      </c>
      <c r="E128" s="151" t="s">
        <v>105</v>
      </c>
    </row>
    <row r="129" spans="1:5" x14ac:dyDescent="0.3">
      <c r="B129" s="278">
        <f>'Daily sales'!C122</f>
        <v>0</v>
      </c>
      <c r="C129" s="269">
        <f>'Daily sales'!D122</f>
        <v>0</v>
      </c>
      <c r="D129" s="270">
        <f>'Daily sales'!O122</f>
        <v>0</v>
      </c>
      <c r="E129" s="264">
        <f>'Daily sales'!P122</f>
        <v>0</v>
      </c>
    </row>
    <row r="130" spans="1:5" x14ac:dyDescent="0.3">
      <c r="B130" s="278">
        <f>'Daily sales'!C123</f>
        <v>0</v>
      </c>
      <c r="C130" s="269">
        <f>'Daily sales'!D123</f>
        <v>0</v>
      </c>
      <c r="D130" s="270">
        <f>'Daily sales'!O123</f>
        <v>0</v>
      </c>
      <c r="E130" s="264">
        <f>'Daily sales'!P123</f>
        <v>0</v>
      </c>
    </row>
    <row r="131" spans="1:5" x14ac:dyDescent="0.3">
      <c r="B131" s="278">
        <f>'Daily sales'!C124</f>
        <v>0</v>
      </c>
      <c r="C131" s="269">
        <f>'Daily sales'!D124</f>
        <v>0</v>
      </c>
      <c r="D131" s="270">
        <f>'Daily sales'!O124</f>
        <v>0</v>
      </c>
      <c r="E131" s="264">
        <f>'Daily sales'!P124</f>
        <v>0</v>
      </c>
    </row>
    <row r="132" spans="1:5" x14ac:dyDescent="0.3">
      <c r="B132" s="278">
        <f>'Daily sales'!C125</f>
        <v>0</v>
      </c>
      <c r="C132" s="269">
        <f>'Daily sales'!D125</f>
        <v>0</v>
      </c>
      <c r="D132" s="270">
        <f>'Daily sales'!O125</f>
        <v>0</v>
      </c>
      <c r="E132" s="264">
        <f>'Daily sales'!P125</f>
        <v>0</v>
      </c>
    </row>
    <row r="133" spans="1:5" x14ac:dyDescent="0.3">
      <c r="B133" s="278">
        <f>'Daily sales'!C126</f>
        <v>0</v>
      </c>
      <c r="C133" s="269">
        <f>'Daily sales'!D126</f>
        <v>0</v>
      </c>
      <c r="D133" s="270">
        <f>'Daily sales'!O126</f>
        <v>0</v>
      </c>
      <c r="E133" s="264">
        <f>'Daily sales'!P126</f>
        <v>0</v>
      </c>
    </row>
    <row r="134" spans="1:5" x14ac:dyDescent="0.3">
      <c r="B134" s="278">
        <f>'Daily sales'!C127</f>
        <v>0</v>
      </c>
      <c r="C134" s="269">
        <f>'Daily sales'!D127</f>
        <v>0</v>
      </c>
      <c r="D134" s="270">
        <f>'Daily sales'!O127</f>
        <v>0</v>
      </c>
      <c r="E134" s="264">
        <f>'Daily sales'!P127</f>
        <v>0</v>
      </c>
    </row>
    <row r="135" spans="1:5" x14ac:dyDescent="0.3">
      <c r="B135" s="278">
        <f>'Daily sales'!C128</f>
        <v>0</v>
      </c>
      <c r="C135" s="269">
        <f>'Daily sales'!D128</f>
        <v>0</v>
      </c>
      <c r="D135" s="270">
        <f>'Daily sales'!O128</f>
        <v>0</v>
      </c>
      <c r="E135" s="264">
        <f>'Daily sales'!P128</f>
        <v>0</v>
      </c>
    </row>
    <row r="136" spans="1:5" x14ac:dyDescent="0.3">
      <c r="B136" s="278">
        <f>'Daily sales'!C129</f>
        <v>0</v>
      </c>
      <c r="C136" s="269">
        <f>'Daily sales'!D129</f>
        <v>0</v>
      </c>
      <c r="D136" s="270">
        <f>'Daily sales'!O129</f>
        <v>0</v>
      </c>
      <c r="E136" s="264">
        <f>'Daily sales'!P129</f>
        <v>0</v>
      </c>
    </row>
    <row r="137" spans="1:5" x14ac:dyDescent="0.3">
      <c r="B137" s="265">
        <f>'Daily sales'!C130</f>
        <v>0</v>
      </c>
      <c r="C137" s="266">
        <f>'Daily sales'!D130</f>
        <v>0</v>
      </c>
      <c r="D137" s="267">
        <f>'Daily sales'!O130</f>
        <v>0</v>
      </c>
      <c r="E137" s="267">
        <f>'Daily sales'!P130</f>
        <v>0</v>
      </c>
    </row>
    <row r="138" spans="1:5" x14ac:dyDescent="0.3">
      <c r="B138" s="265">
        <f>'Daily sales'!C131</f>
        <v>0</v>
      </c>
      <c r="C138" s="266">
        <f>'Daily sales'!D131</f>
        <v>0</v>
      </c>
      <c r="D138" s="267">
        <f>'Daily sales'!O131</f>
        <v>0</v>
      </c>
      <c r="E138" s="267">
        <f>'Daily sales'!P131</f>
        <v>0</v>
      </c>
    </row>
    <row r="139" spans="1:5" x14ac:dyDescent="0.3">
      <c r="A139" s="130" t="s">
        <v>1</v>
      </c>
      <c r="B139" s="273"/>
      <c r="C139" s="274"/>
      <c r="D139" s="275">
        <f>SUBTOTAL(109,tblSalesData67353841[Total income])</f>
        <v>0</v>
      </c>
      <c r="E139" s="275">
        <f>SUBTOTAL(109,tblSalesData67353841[Gross Profit])</f>
        <v>0</v>
      </c>
    </row>
    <row r="140" spans="1:5" x14ac:dyDescent="0.3">
      <c r="B140" s="190"/>
      <c r="C140" s="191"/>
      <c r="D140" s="181"/>
      <c r="E140" s="181"/>
    </row>
    <row r="141" spans="1:5" x14ac:dyDescent="0.3">
      <c r="B141" s="182"/>
      <c r="C141" s="183"/>
      <c r="D141" s="280" t="s">
        <v>10</v>
      </c>
      <c r="E141" s="280"/>
    </row>
    <row r="142" spans="1:5" x14ac:dyDescent="0.3">
      <c r="B142" s="261" t="s">
        <v>65</v>
      </c>
      <c r="C142" s="183"/>
      <c r="D142" s="281"/>
      <c r="E142" s="281"/>
    </row>
    <row r="143" spans="1:5" x14ac:dyDescent="0.3">
      <c r="B143" s="262" t="s">
        <v>0</v>
      </c>
      <c r="C143" s="263" t="s">
        <v>46</v>
      </c>
      <c r="D143" s="264" t="s">
        <v>48</v>
      </c>
      <c r="E143" s="151" t="s">
        <v>105</v>
      </c>
    </row>
    <row r="144" spans="1:5" x14ac:dyDescent="0.3">
      <c r="B144" s="278">
        <f>'Daily sales'!C136</f>
        <v>0</v>
      </c>
      <c r="C144" s="269">
        <f>'Daily sales'!D136</f>
        <v>0</v>
      </c>
      <c r="D144" s="270">
        <f>'Daily sales'!O136</f>
        <v>0</v>
      </c>
      <c r="E144" s="264">
        <f>'Daily sales'!P136</f>
        <v>0</v>
      </c>
    </row>
    <row r="145" spans="1:5" x14ac:dyDescent="0.3">
      <c r="B145" s="278">
        <f>'Daily sales'!C137</f>
        <v>0</v>
      </c>
      <c r="C145" s="269">
        <f>'Daily sales'!D137</f>
        <v>0</v>
      </c>
      <c r="D145" s="270">
        <f>'Daily sales'!O137</f>
        <v>0</v>
      </c>
      <c r="E145" s="264">
        <f>'Daily sales'!P137</f>
        <v>0</v>
      </c>
    </row>
    <row r="146" spans="1:5" x14ac:dyDescent="0.3">
      <c r="B146" s="278">
        <f>'Daily sales'!C138</f>
        <v>0</v>
      </c>
      <c r="C146" s="269">
        <f>'Daily sales'!D138</f>
        <v>0</v>
      </c>
      <c r="D146" s="270">
        <f>'Daily sales'!O138</f>
        <v>0</v>
      </c>
      <c r="E146" s="264">
        <f>'Daily sales'!P138</f>
        <v>0</v>
      </c>
    </row>
    <row r="147" spans="1:5" x14ac:dyDescent="0.3">
      <c r="B147" s="278">
        <f>'Daily sales'!C139</f>
        <v>0</v>
      </c>
      <c r="C147" s="269">
        <f>'Daily sales'!D139</f>
        <v>0</v>
      </c>
      <c r="D147" s="270">
        <f>'Daily sales'!O139</f>
        <v>0</v>
      </c>
      <c r="E147" s="264">
        <f>'Daily sales'!P139</f>
        <v>0</v>
      </c>
    </row>
    <row r="148" spans="1:5" x14ac:dyDescent="0.3">
      <c r="B148" s="278">
        <f>'Daily sales'!C140</f>
        <v>0</v>
      </c>
      <c r="C148" s="269">
        <f>'Daily sales'!D140</f>
        <v>0</v>
      </c>
      <c r="D148" s="270">
        <f>'Daily sales'!O140</f>
        <v>0</v>
      </c>
      <c r="E148" s="264">
        <f>'Daily sales'!P140</f>
        <v>0</v>
      </c>
    </row>
    <row r="149" spans="1:5" x14ac:dyDescent="0.3">
      <c r="B149" s="278">
        <f>'Daily sales'!C141</f>
        <v>0</v>
      </c>
      <c r="C149" s="269">
        <f>'Daily sales'!D141</f>
        <v>0</v>
      </c>
      <c r="D149" s="270">
        <f>'Daily sales'!O141</f>
        <v>0</v>
      </c>
      <c r="E149" s="264">
        <f>'Daily sales'!P141</f>
        <v>0</v>
      </c>
    </row>
    <row r="150" spans="1:5" x14ac:dyDescent="0.3">
      <c r="B150" s="278">
        <f>'Daily sales'!C142</f>
        <v>0</v>
      </c>
      <c r="C150" s="269">
        <f>'Daily sales'!D142</f>
        <v>0</v>
      </c>
      <c r="D150" s="270">
        <f>'Daily sales'!O142</f>
        <v>0</v>
      </c>
      <c r="E150" s="264">
        <f>'Daily sales'!P142</f>
        <v>0</v>
      </c>
    </row>
    <row r="151" spans="1:5" x14ac:dyDescent="0.3">
      <c r="B151" s="278">
        <f>'Daily sales'!C143</f>
        <v>0</v>
      </c>
      <c r="C151" s="269">
        <f>'Daily sales'!D143</f>
        <v>0</v>
      </c>
      <c r="D151" s="270">
        <f>'Daily sales'!O143</f>
        <v>0</v>
      </c>
      <c r="E151" s="264">
        <f>'Daily sales'!P143</f>
        <v>0</v>
      </c>
    </row>
    <row r="152" spans="1:5" x14ac:dyDescent="0.3">
      <c r="B152" s="265">
        <f>'Daily sales'!C144</f>
        <v>0</v>
      </c>
      <c r="C152" s="266">
        <f>'Daily sales'!D144</f>
        <v>0</v>
      </c>
      <c r="D152" s="267">
        <f>'Daily sales'!O144</f>
        <v>0</v>
      </c>
      <c r="E152" s="267">
        <f>'Daily sales'!P144</f>
        <v>0</v>
      </c>
    </row>
    <row r="153" spans="1:5" x14ac:dyDescent="0.3">
      <c r="B153" s="265">
        <f>'Daily sales'!C145</f>
        <v>0</v>
      </c>
      <c r="C153" s="266">
        <f>'Daily sales'!D145</f>
        <v>0</v>
      </c>
      <c r="D153" s="267">
        <f>'Daily sales'!O145</f>
        <v>0</v>
      </c>
      <c r="E153" s="267">
        <f>'Daily sales'!P145</f>
        <v>0</v>
      </c>
    </row>
    <row r="154" spans="1:5" x14ac:dyDescent="0.3">
      <c r="A154" s="130" t="s">
        <v>1</v>
      </c>
      <c r="B154" s="273"/>
      <c r="C154" s="274"/>
      <c r="D154" s="275">
        <f>SUBTOTAL(109,tblSalesData67353842[Total income])</f>
        <v>0</v>
      </c>
      <c r="E154" s="275">
        <f>SUBTOTAL(109,tblSalesData67353842[Gross Profit])</f>
        <v>0</v>
      </c>
    </row>
    <row r="155" spans="1:5" x14ac:dyDescent="0.3">
      <c r="B155" s="182"/>
      <c r="C155" s="183"/>
      <c r="D155" s="280" t="s">
        <v>10</v>
      </c>
      <c r="E155" s="280"/>
    </row>
    <row r="156" spans="1:5" x14ac:dyDescent="0.3">
      <c r="B156" s="261" t="s">
        <v>66</v>
      </c>
      <c r="C156" s="183"/>
      <c r="D156" s="281"/>
      <c r="E156" s="281"/>
    </row>
    <row r="157" spans="1:5" x14ac:dyDescent="0.3">
      <c r="B157" s="262" t="s">
        <v>0</v>
      </c>
      <c r="C157" s="263" t="s">
        <v>46</v>
      </c>
      <c r="D157" s="264" t="s">
        <v>48</v>
      </c>
      <c r="E157" s="151" t="s">
        <v>105</v>
      </c>
    </row>
    <row r="158" spans="1:5" x14ac:dyDescent="0.3">
      <c r="B158" s="278">
        <f>'Daily sales'!C150</f>
        <v>0</v>
      </c>
      <c r="C158" s="269">
        <f>'Daily sales'!D150</f>
        <v>0</v>
      </c>
      <c r="D158" s="270">
        <f>'Daily sales'!O150</f>
        <v>0</v>
      </c>
      <c r="E158" s="264">
        <f>'Daily sales'!P150</f>
        <v>0</v>
      </c>
    </row>
    <row r="159" spans="1:5" x14ac:dyDescent="0.3">
      <c r="B159" s="278">
        <f>'Daily sales'!C151</f>
        <v>0</v>
      </c>
      <c r="C159" s="269">
        <f>'Daily sales'!D151</f>
        <v>0</v>
      </c>
      <c r="D159" s="270">
        <f>'Daily sales'!O151</f>
        <v>0</v>
      </c>
      <c r="E159" s="264">
        <f>'Daily sales'!P151</f>
        <v>0</v>
      </c>
    </row>
    <row r="160" spans="1:5" x14ac:dyDescent="0.3">
      <c r="B160" s="278">
        <f>'Daily sales'!C152</f>
        <v>0</v>
      </c>
      <c r="C160" s="269">
        <f>'Daily sales'!D152</f>
        <v>0</v>
      </c>
      <c r="D160" s="270">
        <f>'Daily sales'!O152</f>
        <v>0</v>
      </c>
      <c r="E160" s="264">
        <f>'Daily sales'!P152</f>
        <v>0</v>
      </c>
    </row>
    <row r="161" spans="1:5" x14ac:dyDescent="0.3">
      <c r="B161" s="278">
        <f>'Daily sales'!C153</f>
        <v>0</v>
      </c>
      <c r="C161" s="269">
        <f>'Daily sales'!D153</f>
        <v>0</v>
      </c>
      <c r="D161" s="270">
        <f>'Daily sales'!O153</f>
        <v>0</v>
      </c>
      <c r="E161" s="264">
        <f>'Daily sales'!P153</f>
        <v>0</v>
      </c>
    </row>
    <row r="162" spans="1:5" x14ac:dyDescent="0.3">
      <c r="B162" s="278">
        <f>'Daily sales'!C154</f>
        <v>0</v>
      </c>
      <c r="C162" s="269">
        <f>'Daily sales'!D154</f>
        <v>0</v>
      </c>
      <c r="D162" s="270">
        <f>'Daily sales'!O154</f>
        <v>0</v>
      </c>
      <c r="E162" s="264">
        <f>'Daily sales'!P154</f>
        <v>0</v>
      </c>
    </row>
    <row r="163" spans="1:5" x14ac:dyDescent="0.3">
      <c r="B163" s="278">
        <f>'Daily sales'!C155</f>
        <v>0</v>
      </c>
      <c r="C163" s="269">
        <f>'Daily sales'!D155</f>
        <v>0</v>
      </c>
      <c r="D163" s="270">
        <f>'Daily sales'!O155</f>
        <v>0</v>
      </c>
      <c r="E163" s="264">
        <f>'Daily sales'!P155</f>
        <v>0</v>
      </c>
    </row>
    <row r="164" spans="1:5" x14ac:dyDescent="0.3">
      <c r="B164" s="278">
        <f>'Daily sales'!C156</f>
        <v>0</v>
      </c>
      <c r="C164" s="269">
        <f>'Daily sales'!D156</f>
        <v>0</v>
      </c>
      <c r="D164" s="270">
        <f>'Daily sales'!O156</f>
        <v>0</v>
      </c>
      <c r="E164" s="264">
        <f>'Daily sales'!P156</f>
        <v>0</v>
      </c>
    </row>
    <row r="165" spans="1:5" x14ac:dyDescent="0.3">
      <c r="B165" s="278">
        <f>'Daily sales'!C157</f>
        <v>0</v>
      </c>
      <c r="C165" s="269">
        <f>'Daily sales'!D157</f>
        <v>0</v>
      </c>
      <c r="D165" s="270">
        <f>'Daily sales'!O157</f>
        <v>0</v>
      </c>
      <c r="E165" s="264">
        <f>'Daily sales'!P157</f>
        <v>0</v>
      </c>
    </row>
    <row r="166" spans="1:5" x14ac:dyDescent="0.3">
      <c r="B166" s="265">
        <f>'Daily sales'!C158</f>
        <v>0</v>
      </c>
      <c r="C166" s="266">
        <f>'Daily sales'!D158</f>
        <v>0</v>
      </c>
      <c r="D166" s="267">
        <f>'Daily sales'!O158</f>
        <v>0</v>
      </c>
      <c r="E166" s="267">
        <f>'Daily sales'!P158</f>
        <v>0</v>
      </c>
    </row>
    <row r="167" spans="1:5" x14ac:dyDescent="0.3">
      <c r="B167" s="265">
        <f>'Daily sales'!C159</f>
        <v>0</v>
      </c>
      <c r="C167" s="266">
        <f>'Daily sales'!D159</f>
        <v>0</v>
      </c>
      <c r="D167" s="267">
        <f>'Daily sales'!O159</f>
        <v>0</v>
      </c>
      <c r="E167" s="267">
        <f>'Daily sales'!P159</f>
        <v>0</v>
      </c>
    </row>
    <row r="168" spans="1:5" x14ac:dyDescent="0.3">
      <c r="A168" s="130" t="s">
        <v>1</v>
      </c>
      <c r="B168" s="273"/>
      <c r="C168" s="274"/>
      <c r="D168" s="275">
        <f>SUBTOTAL(109,tblSalesData6735363943[Total income])</f>
        <v>0</v>
      </c>
      <c r="E168" s="275">
        <f>SUBTOTAL(109,tblSalesData6735363943[Gross Profit])</f>
        <v>0</v>
      </c>
    </row>
    <row r="169" spans="1:5" x14ac:dyDescent="0.3">
      <c r="B169" s="190"/>
      <c r="C169" s="191"/>
      <c r="D169" s="181"/>
      <c r="E169" s="181"/>
    </row>
    <row r="170" spans="1:5" x14ac:dyDescent="0.3">
      <c r="B170" s="182"/>
      <c r="C170" s="183"/>
      <c r="D170" s="280" t="s">
        <v>10</v>
      </c>
      <c r="E170" s="280"/>
    </row>
    <row r="171" spans="1:5" x14ac:dyDescent="0.3">
      <c r="B171" s="261" t="s">
        <v>67</v>
      </c>
      <c r="C171" s="183"/>
      <c r="D171" s="281"/>
      <c r="E171" s="281"/>
    </row>
    <row r="172" spans="1:5" x14ac:dyDescent="0.3">
      <c r="B172" s="262" t="s">
        <v>0</v>
      </c>
      <c r="C172" s="263" t="s">
        <v>46</v>
      </c>
      <c r="D172" s="264" t="s">
        <v>48</v>
      </c>
      <c r="E172" s="151" t="s">
        <v>105</v>
      </c>
    </row>
    <row r="173" spans="1:5" x14ac:dyDescent="0.3">
      <c r="B173" s="278">
        <f>'Daily sales'!C164:C173</f>
        <v>0</v>
      </c>
      <c r="C173" s="269">
        <f>'Daily sales'!D164:D173</f>
        <v>0</v>
      </c>
      <c r="D173" s="270">
        <f>'Daily sales'!O164:O173</f>
        <v>0</v>
      </c>
      <c r="E173" s="264">
        <f>'Daily sales'!P164:P173</f>
        <v>0</v>
      </c>
    </row>
    <row r="174" spans="1:5" x14ac:dyDescent="0.3">
      <c r="B174" s="278">
        <f>'Daily sales'!C165:C174</f>
        <v>0</v>
      </c>
      <c r="C174" s="269">
        <f>'Daily sales'!D165:D174</f>
        <v>0</v>
      </c>
      <c r="D174" s="270">
        <f>'Daily sales'!O165:O174</f>
        <v>0</v>
      </c>
      <c r="E174" s="264">
        <f>'Daily sales'!P165:P174</f>
        <v>0</v>
      </c>
    </row>
    <row r="175" spans="1:5" x14ac:dyDescent="0.3">
      <c r="B175" s="278">
        <f>'Daily sales'!C166:C175</f>
        <v>0</v>
      </c>
      <c r="C175" s="269">
        <f>'Daily sales'!D166:D175</f>
        <v>0</v>
      </c>
      <c r="D175" s="270">
        <f>'Daily sales'!O166:O175</f>
        <v>0</v>
      </c>
      <c r="E175" s="264">
        <f>'Daily sales'!P166:P175</f>
        <v>0</v>
      </c>
    </row>
    <row r="176" spans="1:5" x14ac:dyDescent="0.3">
      <c r="B176" s="278">
        <f>'Daily sales'!C167:C176</f>
        <v>0</v>
      </c>
      <c r="C176" s="269">
        <f>'Daily sales'!D167:D176</f>
        <v>0</v>
      </c>
      <c r="D176" s="270">
        <f>'Daily sales'!O167:O176</f>
        <v>0</v>
      </c>
      <c r="E176" s="264">
        <f>'Daily sales'!P167:P176</f>
        <v>0</v>
      </c>
    </row>
    <row r="177" spans="1:5" x14ac:dyDescent="0.3">
      <c r="B177" s="278">
        <f>'Daily sales'!C168:C177</f>
        <v>0</v>
      </c>
      <c r="C177" s="269">
        <f>'Daily sales'!D168:D177</f>
        <v>0</v>
      </c>
      <c r="D177" s="270">
        <f>'Daily sales'!O168:O177</f>
        <v>0</v>
      </c>
      <c r="E177" s="264">
        <f>'Daily sales'!P168:P177</f>
        <v>0</v>
      </c>
    </row>
    <row r="178" spans="1:5" x14ac:dyDescent="0.3">
      <c r="B178" s="278">
        <f>'Daily sales'!C169:C178</f>
        <v>0</v>
      </c>
      <c r="C178" s="269">
        <f>'Daily sales'!D169:D178</f>
        <v>0</v>
      </c>
      <c r="D178" s="270">
        <f>'Daily sales'!O169:O178</f>
        <v>0</v>
      </c>
      <c r="E178" s="264">
        <f>'Daily sales'!P169:P178</f>
        <v>0</v>
      </c>
    </row>
    <row r="179" spans="1:5" x14ac:dyDescent="0.3">
      <c r="B179" s="278">
        <f>'Daily sales'!C170:C179</f>
        <v>0</v>
      </c>
      <c r="C179" s="269">
        <f>'Daily sales'!D170:D179</f>
        <v>0</v>
      </c>
      <c r="D179" s="270">
        <f>'Daily sales'!O170:O179</f>
        <v>0</v>
      </c>
      <c r="E179" s="264">
        <f>'Daily sales'!P170:P179</f>
        <v>0</v>
      </c>
    </row>
    <row r="180" spans="1:5" x14ac:dyDescent="0.3">
      <c r="B180" s="278">
        <f>'Daily sales'!C171:C180</f>
        <v>0</v>
      </c>
      <c r="C180" s="269">
        <f>'Daily sales'!D171:D180</f>
        <v>0</v>
      </c>
      <c r="D180" s="270">
        <f>'Daily sales'!O171:O180</f>
        <v>0</v>
      </c>
      <c r="E180" s="264">
        <f>'Daily sales'!P171:P180</f>
        <v>0</v>
      </c>
    </row>
    <row r="181" spans="1:5" x14ac:dyDescent="0.3">
      <c r="B181" s="265">
        <f>'Daily sales'!C172:C181</f>
        <v>0</v>
      </c>
      <c r="C181" s="266">
        <f>'Daily sales'!D172:D181</f>
        <v>0</v>
      </c>
      <c r="D181" s="267">
        <f>'Daily sales'!O172:O181</f>
        <v>0</v>
      </c>
      <c r="E181" s="267">
        <f>'Daily sales'!P172:P181</f>
        <v>0</v>
      </c>
    </row>
    <row r="182" spans="1:5" x14ac:dyDescent="0.3">
      <c r="B182" s="265">
        <f>'Daily sales'!C173:C182</f>
        <v>0</v>
      </c>
      <c r="C182" s="266">
        <f>'Daily sales'!D173:D182</f>
        <v>0</v>
      </c>
      <c r="D182" s="267">
        <f>'Daily sales'!O173:O182</f>
        <v>0</v>
      </c>
      <c r="E182" s="267">
        <f>'Daily sales'!P173:P182</f>
        <v>0</v>
      </c>
    </row>
    <row r="183" spans="1:5" x14ac:dyDescent="0.3">
      <c r="A183" s="130" t="s">
        <v>1</v>
      </c>
      <c r="B183" s="273"/>
      <c r="C183" s="274"/>
      <c r="D183" s="275">
        <f>SUBTOTAL(109,tblSalesData67374044[Total income])</f>
        <v>0</v>
      </c>
      <c r="E183" s="275">
        <f>SUBTOTAL(109,tblSalesData67374044[Gross Profit])</f>
        <v>0</v>
      </c>
    </row>
    <row r="184" spans="1:5" x14ac:dyDescent="0.3">
      <c r="B184" s="182"/>
      <c r="C184" s="183"/>
      <c r="D184" s="181"/>
      <c r="E184" s="181"/>
    </row>
  </sheetData>
  <sheetProtection password="CF7A" sheet="1" objects="1" scenarios="1" sort="0"/>
  <mergeCells count="12">
    <mergeCell ref="D6:E7"/>
    <mergeCell ref="D21:E22"/>
    <mergeCell ref="D37:E38"/>
    <mergeCell ref="D52:E53"/>
    <mergeCell ref="D68:E69"/>
    <mergeCell ref="D155:E156"/>
    <mergeCell ref="D170:E171"/>
    <mergeCell ref="D83:E84"/>
    <mergeCell ref="D97:E98"/>
    <mergeCell ref="D111:E112"/>
    <mergeCell ref="D126:E127"/>
    <mergeCell ref="D141:E142"/>
  </mergeCells>
  <pageMargins left="0.7" right="0.7" top="0.75" bottom="0.75" header="0.3" footer="0.3"/>
  <pageSetup paperSize="9" orientation="portrait" r:id="rId1"/>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31"/>
  <sheetViews>
    <sheetView tabSelected="1" topLeftCell="A7" zoomScale="90" zoomScaleNormal="90" workbookViewId="0">
      <selection activeCell="H36" sqref="H36"/>
    </sheetView>
  </sheetViews>
  <sheetFormatPr defaultColWidth="9.140625" defaultRowHeight="15" x14ac:dyDescent="0.3"/>
  <cols>
    <col min="1" max="1" width="13.42578125" style="3" customWidth="1"/>
    <col min="2" max="2" width="18" style="29" customWidth="1"/>
    <col min="3" max="3" width="15" style="29" customWidth="1"/>
    <col min="4" max="4" width="23.5703125" style="3" customWidth="1"/>
    <col min="5" max="5" width="21.42578125" style="5" customWidth="1"/>
    <col min="6" max="6" width="12.140625" style="29" customWidth="1"/>
    <col min="7" max="7" width="23.85546875" style="5" customWidth="1"/>
    <col min="8" max="8" width="28.85546875" style="30" customWidth="1"/>
    <col min="9" max="9" width="32.85546875" style="30" customWidth="1"/>
    <col min="10" max="16384" width="9.140625" style="3"/>
  </cols>
  <sheetData>
    <row r="1" spans="1:9" x14ac:dyDescent="0.3">
      <c r="A1" s="3" t="s">
        <v>2</v>
      </c>
      <c r="B1" s="2"/>
      <c r="C1" s="2"/>
      <c r="D1" s="4"/>
    </row>
    <row r="2" spans="1:9" ht="36" x14ac:dyDescent="0.3">
      <c r="B2" s="31" t="s">
        <v>101</v>
      </c>
      <c r="C2" s="31"/>
      <c r="D2" s="4"/>
    </row>
    <row r="3" spans="1:9" ht="36" x14ac:dyDescent="0.3">
      <c r="B3" s="7"/>
      <c r="C3" s="7"/>
      <c r="D3" s="4"/>
    </row>
    <row r="4" spans="1:9" x14ac:dyDescent="0.3">
      <c r="B4" s="2"/>
      <c r="C4" s="2"/>
      <c r="D4" s="4"/>
    </row>
    <row r="5" spans="1:9" x14ac:dyDescent="0.3">
      <c r="B5" s="2"/>
      <c r="C5" s="2"/>
      <c r="D5" s="4"/>
    </row>
    <row r="6" spans="1:9" x14ac:dyDescent="0.3">
      <c r="B6" s="8"/>
      <c r="C6" s="8"/>
      <c r="D6" s="9"/>
      <c r="E6" s="10"/>
      <c r="F6" s="32"/>
      <c r="G6" s="10"/>
    </row>
    <row r="7" spans="1:9" x14ac:dyDescent="0.3">
      <c r="B7" s="8"/>
      <c r="C7" s="8"/>
      <c r="D7" s="9"/>
      <c r="E7" s="10"/>
      <c r="F7" s="32"/>
      <c r="G7" s="10"/>
      <c r="H7" s="39"/>
      <c r="I7" s="39"/>
    </row>
    <row r="8" spans="1:9" ht="30" x14ac:dyDescent="0.3">
      <c r="B8" s="33" t="s">
        <v>40</v>
      </c>
      <c r="C8" s="33" t="s">
        <v>46</v>
      </c>
      <c r="D8" s="34" t="s">
        <v>11</v>
      </c>
      <c r="E8" s="35" t="s">
        <v>12</v>
      </c>
      <c r="F8" s="36" t="s">
        <v>21</v>
      </c>
      <c r="G8" s="35" t="s">
        <v>44</v>
      </c>
      <c r="H8" s="40" t="s">
        <v>103</v>
      </c>
      <c r="I8" s="41" t="s">
        <v>37</v>
      </c>
    </row>
    <row r="9" spans="1:9" x14ac:dyDescent="0.3">
      <c r="B9" s="13">
        <v>2018</v>
      </c>
      <c r="C9" s="13">
        <v>55</v>
      </c>
      <c r="D9" s="14" t="s">
        <v>89</v>
      </c>
      <c r="E9" s="15">
        <v>1500</v>
      </c>
      <c r="F9" s="37">
        <v>5</v>
      </c>
      <c r="G9" s="15">
        <f>tblSalesData8[[#This Row],[Purchase cost]]-tblSalesData8[[#This Row],[Total depreciation costs per year]]</f>
        <v>1200</v>
      </c>
      <c r="H9" s="42">
        <f>tblSalesData8[[#This Row],[Purchase cost]]/tblSalesData8[[#This Row],[Depreciation year]]</f>
        <v>300</v>
      </c>
      <c r="I9" s="41">
        <f>tblSalesData8[[#This Row],[Total depreciation costs per year]]/12</f>
        <v>25</v>
      </c>
    </row>
    <row r="10" spans="1:9" x14ac:dyDescent="0.3">
      <c r="B10" s="13">
        <v>2018</v>
      </c>
      <c r="C10" s="128">
        <v>55</v>
      </c>
      <c r="D10" s="14" t="s">
        <v>90</v>
      </c>
      <c r="E10" s="15">
        <v>144</v>
      </c>
      <c r="F10" s="37">
        <v>2</v>
      </c>
      <c r="G10" s="15">
        <f>tblSalesData8[[#This Row],[Purchase cost]]-tblSalesData8[[#This Row],[Total depreciation costs per year]]</f>
        <v>72</v>
      </c>
      <c r="H10" s="42">
        <f>tblSalesData8[[#This Row],[Purchase cost]]/tblSalesData8[[#This Row],[Depreciation year]]</f>
        <v>72</v>
      </c>
      <c r="I10" s="41">
        <f>tblSalesData8[[#This Row],[Total depreciation costs per year]]/12</f>
        <v>6</v>
      </c>
    </row>
    <row r="11" spans="1:9" x14ac:dyDescent="0.3">
      <c r="B11" s="13">
        <v>2018</v>
      </c>
      <c r="C11" s="129">
        <v>55</v>
      </c>
      <c r="D11" s="14" t="s">
        <v>91</v>
      </c>
      <c r="E11" s="15">
        <v>900</v>
      </c>
      <c r="F11" s="37">
        <v>5</v>
      </c>
      <c r="G11" s="15">
        <f>tblSalesData8[[#This Row],[Purchase cost]]-tblSalesData8[[#This Row],[Total depreciation costs per year]]</f>
        <v>720</v>
      </c>
      <c r="H11" s="42">
        <f>tblSalesData8[[#This Row],[Purchase cost]]/tblSalesData8[[#This Row],[Depreciation year]]</f>
        <v>180</v>
      </c>
      <c r="I11" s="41">
        <f>tblSalesData8[[#This Row],[Total depreciation costs per year]]/12</f>
        <v>15</v>
      </c>
    </row>
    <row r="12" spans="1:9" x14ac:dyDescent="0.3">
      <c r="A12" s="23"/>
      <c r="B12" s="13">
        <v>2018</v>
      </c>
      <c r="C12" s="129">
        <v>55</v>
      </c>
      <c r="D12" s="14" t="s">
        <v>92</v>
      </c>
      <c r="E12" s="15">
        <v>720</v>
      </c>
      <c r="F12" s="37">
        <v>5</v>
      </c>
      <c r="G12" s="15">
        <f>tblSalesData8[[#This Row],[Purchase cost]]-tblSalesData8[[#This Row],[Total depreciation costs per year]]</f>
        <v>576</v>
      </c>
      <c r="H12" s="42">
        <f>tblSalesData8[[#This Row],[Purchase cost]]/tblSalesData8[[#This Row],[Depreciation year]]</f>
        <v>144</v>
      </c>
      <c r="I12" s="41">
        <f>tblSalesData8[[#This Row],[Total depreciation costs per year]]/12</f>
        <v>12</v>
      </c>
    </row>
    <row r="13" spans="1:9" x14ac:dyDescent="0.3">
      <c r="B13" s="13">
        <v>2018</v>
      </c>
      <c r="C13" s="129">
        <v>55</v>
      </c>
      <c r="D13" s="14" t="s">
        <v>93</v>
      </c>
      <c r="E13" s="15">
        <v>2000</v>
      </c>
      <c r="F13" s="37">
        <v>5</v>
      </c>
      <c r="G13" s="15">
        <f>tblSalesData8[[#This Row],[Purchase cost]]-tblSalesData8[[#This Row],[Total depreciation costs per year]]</f>
        <v>1600</v>
      </c>
      <c r="H13" s="42">
        <f>tblSalesData8[[#This Row],[Purchase cost]]/tblSalesData8[[#This Row],[Depreciation year]]</f>
        <v>400</v>
      </c>
      <c r="I13" s="41">
        <f>tblSalesData8[[#This Row],[Total depreciation costs per year]]/12</f>
        <v>33.333333333333336</v>
      </c>
    </row>
    <row r="14" spans="1:9" x14ac:dyDescent="0.3">
      <c r="B14" s="13">
        <v>2018</v>
      </c>
      <c r="C14" s="129">
        <v>59</v>
      </c>
      <c r="D14" s="14" t="s">
        <v>94</v>
      </c>
      <c r="E14" s="15">
        <v>7600</v>
      </c>
      <c r="F14" s="37">
        <v>7</v>
      </c>
      <c r="G14" s="15">
        <f>tblSalesData8[[#This Row],[Purchase cost]]-tblSalesData8[[#This Row],[Total depreciation costs per year]]</f>
        <v>6514.2857142857138</v>
      </c>
      <c r="H14" s="42">
        <f>tblSalesData8[[#This Row],[Purchase cost]]/tblSalesData8[[#This Row],[Depreciation year]]</f>
        <v>1085.7142857142858</v>
      </c>
      <c r="I14" s="41">
        <f>tblSalesData8[[#This Row],[Total depreciation costs per year]]/12</f>
        <v>90.476190476190482</v>
      </c>
    </row>
    <row r="15" spans="1:9" x14ac:dyDescent="0.3">
      <c r="B15" s="13">
        <v>2018</v>
      </c>
      <c r="C15" s="129">
        <v>59</v>
      </c>
      <c r="D15" s="14" t="s">
        <v>95</v>
      </c>
      <c r="E15" s="15">
        <v>2494</v>
      </c>
      <c r="F15" s="37">
        <v>5</v>
      </c>
      <c r="G15" s="15">
        <f>tblSalesData8[[#This Row],[Purchase cost]]-tblSalesData8[[#This Row],[Total depreciation costs per year]]</f>
        <v>1995.2</v>
      </c>
      <c r="H15" s="42">
        <f>tblSalesData8[[#This Row],[Purchase cost]]/tblSalesData8[[#This Row],[Depreciation year]]</f>
        <v>498.8</v>
      </c>
      <c r="I15" s="41">
        <f>tblSalesData8[[#This Row],[Total depreciation costs per year]]/12</f>
        <v>41.56666666666667</v>
      </c>
    </row>
    <row r="16" spans="1:9" x14ac:dyDescent="0.3">
      <c r="B16" s="13">
        <v>2018</v>
      </c>
      <c r="C16" s="129">
        <v>59</v>
      </c>
      <c r="D16" s="14" t="s">
        <v>96</v>
      </c>
      <c r="E16" s="15">
        <v>1976</v>
      </c>
      <c r="F16" s="37">
        <v>4</v>
      </c>
      <c r="G16" s="15">
        <f>tblSalesData8[[#This Row],[Purchase cost]]-tblSalesData8[[#This Row],[Total depreciation costs per year]]</f>
        <v>1482</v>
      </c>
      <c r="H16" s="42">
        <f>tblSalesData8[[#This Row],[Purchase cost]]/tblSalesData8[[#This Row],[Depreciation year]]</f>
        <v>494</v>
      </c>
      <c r="I16" s="41">
        <f>tblSalesData8[[#This Row],[Total depreciation costs per year]]/12</f>
        <v>41.166666666666664</v>
      </c>
    </row>
    <row r="17" spans="1:9" x14ac:dyDescent="0.3">
      <c r="B17" s="13">
        <v>2018</v>
      </c>
      <c r="C17" s="129">
        <v>55</v>
      </c>
      <c r="D17" s="14" t="s">
        <v>97</v>
      </c>
      <c r="E17" s="15">
        <v>1600</v>
      </c>
      <c r="F17" s="37">
        <v>5</v>
      </c>
      <c r="G17" s="15">
        <f>tblSalesData8[[#This Row],[Purchase cost]]-tblSalesData8[[#This Row],[Total depreciation costs per year]]</f>
        <v>1280</v>
      </c>
      <c r="H17" s="42">
        <f>tblSalesData8[[#This Row],[Purchase cost]]/tblSalesData8[[#This Row],[Depreciation year]]</f>
        <v>320</v>
      </c>
      <c r="I17" s="41">
        <f>tblSalesData8[[#This Row],[Total depreciation costs per year]]/12</f>
        <v>26.666666666666668</v>
      </c>
    </row>
    <row r="18" spans="1:9" x14ac:dyDescent="0.3">
      <c r="B18" s="13">
        <v>2018</v>
      </c>
      <c r="C18" s="129">
        <v>60</v>
      </c>
      <c r="D18" s="14" t="s">
        <v>98</v>
      </c>
      <c r="E18" s="15">
        <v>53850</v>
      </c>
      <c r="F18" s="37">
        <v>5</v>
      </c>
      <c r="G18" s="15">
        <f>tblSalesData8[[#This Row],[Purchase cost]]-tblSalesData8[[#This Row],[Total depreciation costs per year]]</f>
        <v>43080</v>
      </c>
      <c r="H18" s="42">
        <f>tblSalesData8[[#This Row],[Purchase cost]]/tblSalesData8[[#This Row],[Depreciation year]]</f>
        <v>10770</v>
      </c>
      <c r="I18" s="41">
        <f>tblSalesData8[[#This Row],[Total depreciation costs per year]]/12</f>
        <v>897.5</v>
      </c>
    </row>
    <row r="19" spans="1:9" x14ac:dyDescent="0.3">
      <c r="A19" s="282" t="s">
        <v>102</v>
      </c>
      <c r="B19" s="17"/>
      <c r="C19" s="17"/>
      <c r="D19" s="19"/>
      <c r="E19" s="20">
        <f>SUBTOTAL(109,tblSalesData8[Purchase cost])</f>
        <v>72784</v>
      </c>
      <c r="F19" s="38"/>
      <c r="G19" s="20">
        <f>G9+G10+G11+G12+G13+G14+G15+G16+G17+G18</f>
        <v>58519.485714285714</v>
      </c>
      <c r="H19" s="39">
        <f>SUM(tblSalesData8[Total depreciation costs per year])</f>
        <v>14264.514285714286</v>
      </c>
      <c r="I19" s="24">
        <f>SUM(tblSalesData8[Monthly depriciation costs])</f>
        <v>1188.7095238095239</v>
      </c>
    </row>
    <row r="20" spans="1:9" ht="30" x14ac:dyDescent="0.3">
      <c r="A20" s="282"/>
      <c r="B20" s="33" t="s">
        <v>40</v>
      </c>
      <c r="C20" s="33" t="s">
        <v>46</v>
      </c>
      <c r="D20" s="34" t="s">
        <v>11</v>
      </c>
      <c r="E20" s="35" t="s">
        <v>12</v>
      </c>
      <c r="F20" s="36" t="s">
        <v>21</v>
      </c>
      <c r="G20" s="35" t="s">
        <v>44</v>
      </c>
      <c r="H20" s="40" t="s">
        <v>45</v>
      </c>
      <c r="I20" s="41" t="s">
        <v>37</v>
      </c>
    </row>
    <row r="21" spans="1:9" x14ac:dyDescent="0.3">
      <c r="A21" s="282"/>
      <c r="B21" s="13"/>
      <c r="C21" s="13"/>
      <c r="D21" s="14"/>
      <c r="E21" s="15">
        <v>0</v>
      </c>
      <c r="F21" s="37">
        <v>1</v>
      </c>
      <c r="G21" s="15">
        <v>0</v>
      </c>
      <c r="H21" s="42">
        <f>tblSalesData870[[#This Row],[Purchase cost]]/tblSalesData870[[#This Row],[Depreciation year]]</f>
        <v>0</v>
      </c>
      <c r="I21" s="41">
        <f>tblSalesData870[[#This Row],[Total depreciation costs]]/12</f>
        <v>0</v>
      </c>
    </row>
    <row r="22" spans="1:9" x14ac:dyDescent="0.3">
      <c r="A22" s="282"/>
      <c r="B22" s="13"/>
      <c r="C22" s="128"/>
      <c r="D22" s="14"/>
      <c r="E22" s="15">
        <v>0</v>
      </c>
      <c r="F22" s="37">
        <v>1</v>
      </c>
      <c r="G22" s="15">
        <v>0</v>
      </c>
      <c r="H22" s="42">
        <f>tblSalesData870[[#This Row],[Purchase cost]]/tblSalesData870[[#This Row],[Depreciation year]]</f>
        <v>0</v>
      </c>
      <c r="I22" s="41">
        <f>tblSalesData870[[#This Row],[Total depreciation costs]]/12</f>
        <v>0</v>
      </c>
    </row>
    <row r="23" spans="1:9" x14ac:dyDescent="0.3">
      <c r="A23" s="282"/>
      <c r="B23" s="13"/>
      <c r="C23" s="129"/>
      <c r="D23" s="14"/>
      <c r="E23" s="15">
        <v>0</v>
      </c>
      <c r="F23" s="37">
        <v>1</v>
      </c>
      <c r="G23" s="15">
        <v>0</v>
      </c>
      <c r="H23" s="42">
        <f>tblSalesData870[[#This Row],[Purchase cost]]/tblSalesData870[[#This Row],[Depreciation year]]</f>
        <v>0</v>
      </c>
      <c r="I23" s="41">
        <f>tblSalesData870[[#This Row],[Total depreciation costs]]/12</f>
        <v>0</v>
      </c>
    </row>
    <row r="24" spans="1:9" x14ac:dyDescent="0.3">
      <c r="A24" s="282"/>
      <c r="B24" s="13"/>
      <c r="C24" s="129"/>
      <c r="D24" s="14"/>
      <c r="E24" s="15">
        <v>0</v>
      </c>
      <c r="F24" s="37">
        <v>1</v>
      </c>
      <c r="G24" s="15">
        <v>0</v>
      </c>
      <c r="H24" s="42">
        <f>tblSalesData870[[#This Row],[Purchase cost]]/tblSalesData870[[#This Row],[Depreciation year]]</f>
        <v>0</v>
      </c>
      <c r="I24" s="41">
        <f>tblSalesData870[[#This Row],[Total depreciation costs]]/12</f>
        <v>0</v>
      </c>
    </row>
    <row r="25" spans="1:9" x14ac:dyDescent="0.3">
      <c r="A25" s="282"/>
      <c r="B25" s="13"/>
      <c r="C25" s="129"/>
      <c r="D25" s="14"/>
      <c r="E25" s="15">
        <v>0</v>
      </c>
      <c r="F25" s="37">
        <v>1</v>
      </c>
      <c r="G25" s="15">
        <v>0</v>
      </c>
      <c r="H25" s="42">
        <f>tblSalesData870[[#This Row],[Purchase cost]]/tblSalesData870[[#This Row],[Depreciation year]]</f>
        <v>0</v>
      </c>
      <c r="I25" s="41">
        <f>tblSalesData870[[#This Row],[Total depreciation costs]]/12</f>
        <v>0</v>
      </c>
    </row>
    <row r="26" spans="1:9" x14ac:dyDescent="0.3">
      <c r="B26" s="13"/>
      <c r="C26" s="129"/>
      <c r="D26" s="14"/>
      <c r="E26" s="15">
        <v>0</v>
      </c>
      <c r="F26" s="37">
        <v>1</v>
      </c>
      <c r="G26" s="15">
        <v>0</v>
      </c>
      <c r="H26" s="42">
        <f>tblSalesData870[[#This Row],[Purchase cost]]/tblSalesData870[[#This Row],[Depreciation year]]</f>
        <v>0</v>
      </c>
      <c r="I26" s="41">
        <f>tblSalesData870[[#This Row],[Total depreciation costs]]/12</f>
        <v>0</v>
      </c>
    </row>
    <row r="27" spans="1:9" x14ac:dyDescent="0.3">
      <c r="B27" s="13"/>
      <c r="C27" s="129"/>
      <c r="D27" s="14"/>
      <c r="E27" s="15">
        <v>0</v>
      </c>
      <c r="F27" s="37">
        <v>1</v>
      </c>
      <c r="G27" s="15">
        <v>0</v>
      </c>
      <c r="H27" s="42">
        <f>tblSalesData870[[#This Row],[Purchase cost]]/tblSalesData870[[#This Row],[Depreciation year]]</f>
        <v>0</v>
      </c>
      <c r="I27" s="41">
        <f>tblSalesData870[[#This Row],[Total depreciation costs]]/12</f>
        <v>0</v>
      </c>
    </row>
    <row r="28" spans="1:9" x14ac:dyDescent="0.3">
      <c r="B28" s="13"/>
      <c r="C28" s="129"/>
      <c r="D28" s="14"/>
      <c r="E28" s="15">
        <v>0</v>
      </c>
      <c r="F28" s="37">
        <v>1</v>
      </c>
      <c r="G28" s="15">
        <v>0</v>
      </c>
      <c r="H28" s="42">
        <f>tblSalesData870[[#This Row],[Purchase cost]]/tblSalesData870[[#This Row],[Depreciation year]]</f>
        <v>0</v>
      </c>
      <c r="I28" s="41">
        <f>tblSalesData870[[#This Row],[Total depreciation costs]]/12</f>
        <v>0</v>
      </c>
    </row>
    <row r="29" spans="1:9" x14ac:dyDescent="0.3">
      <c r="B29" s="13"/>
      <c r="C29" s="129"/>
      <c r="D29" s="14"/>
      <c r="E29" s="15">
        <v>0</v>
      </c>
      <c r="F29" s="37">
        <v>1</v>
      </c>
      <c r="G29" s="15">
        <v>0</v>
      </c>
      <c r="H29" s="42">
        <f>tblSalesData870[[#This Row],[Purchase cost]]/tblSalesData870[[#This Row],[Depreciation year]]</f>
        <v>0</v>
      </c>
      <c r="I29" s="41">
        <f>tblSalesData870[[#This Row],[Total depreciation costs]]/12</f>
        <v>0</v>
      </c>
    </row>
    <row r="30" spans="1:9" x14ac:dyDescent="0.3">
      <c r="A30" s="23" t="s">
        <v>1</v>
      </c>
      <c r="B30" s="13"/>
      <c r="C30" s="129"/>
      <c r="D30" s="14"/>
      <c r="E30" s="15">
        <v>0</v>
      </c>
      <c r="F30" s="37">
        <v>1</v>
      </c>
      <c r="G30" s="15">
        <v>0</v>
      </c>
      <c r="H30" s="42">
        <f>tblSalesData870[[#This Row],[Purchase cost]]/tblSalesData870[[#This Row],[Depreciation year]]</f>
        <v>0</v>
      </c>
      <c r="I30" s="41">
        <f>tblSalesData870[[#This Row],[Total depreciation costs]]/12</f>
        <v>0</v>
      </c>
    </row>
    <row r="31" spans="1:9" x14ac:dyDescent="0.3">
      <c r="B31" s="17"/>
      <c r="C31" s="17"/>
      <c r="D31" s="19"/>
      <c r="E31" s="20">
        <f>SUBTOTAL(109,tblSalesData870[Purchase cost])</f>
        <v>0</v>
      </c>
      <c r="F31" s="38"/>
      <c r="G31" s="20">
        <f>SUBTOTAL(109,tblSalesData870[Rest Value])</f>
        <v>0</v>
      </c>
      <c r="H31" s="39">
        <f>SUBTOTAL(109,tblSalesData870[Total depreciation costs])</f>
        <v>0</v>
      </c>
      <c r="I31" s="24">
        <f>SUBTOTAL(109,tblSalesData870[Monthly depriciation costs])</f>
        <v>0</v>
      </c>
    </row>
  </sheetData>
  <sheetProtection sort="0"/>
  <mergeCells count="1">
    <mergeCell ref="A19:A25"/>
  </mergeCells>
  <dataValidations count="1">
    <dataValidation type="list" errorStyle="warning" allowBlank="1" showInputMessage="1" showErrorMessage="1" errorTitle="Whoops!" error="These numbers are from a list on the Inventory sheet.  To add it to the drop down list, click Cancel, go to the Inventory sheet and add it to the list." sqref="F9:F18 F21:F30">
      <formula1>PN</formula1>
    </dataValidation>
  </dataValidations>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J74"/>
  <sheetViews>
    <sheetView topLeftCell="B1" zoomScale="85" zoomScaleNormal="85" workbookViewId="0">
      <selection activeCell="J72" sqref="J72:J73"/>
    </sheetView>
  </sheetViews>
  <sheetFormatPr defaultColWidth="9.140625" defaultRowHeight="15" x14ac:dyDescent="0.3"/>
  <cols>
    <col min="1" max="1" width="13.140625" style="3" customWidth="1"/>
    <col min="2" max="2" width="19.7109375" style="111" customWidth="1"/>
    <col min="3" max="3" width="10.42578125" style="29" customWidth="1"/>
    <col min="4" max="4" width="27.140625" style="3" customWidth="1"/>
    <col min="5" max="5" width="18.42578125" style="5" customWidth="1"/>
    <col min="6" max="6" width="12.140625" style="111" customWidth="1"/>
    <col min="7" max="7" width="12.140625" style="123" customWidth="1"/>
    <col min="8" max="8" width="15.140625" style="5" customWidth="1"/>
    <col min="9" max="9" width="33" style="30" customWidth="1"/>
    <col min="10" max="10" width="45.42578125" style="26" customWidth="1"/>
    <col min="11" max="16384" width="9.140625" style="3"/>
  </cols>
  <sheetData>
    <row r="1" spans="1:10" x14ac:dyDescent="0.3">
      <c r="B1" s="105"/>
      <c r="C1" s="2"/>
      <c r="D1" s="4"/>
    </row>
    <row r="2" spans="1:10" ht="36" x14ac:dyDescent="0.3">
      <c r="B2" s="106" t="s">
        <v>86</v>
      </c>
      <c r="C2" s="64"/>
      <c r="D2" s="65"/>
      <c r="E2" s="67"/>
      <c r="F2" s="112"/>
      <c r="G2" s="124"/>
      <c r="H2" s="67"/>
      <c r="I2" s="39"/>
      <c r="J2" s="28"/>
    </row>
    <row r="3" spans="1:10" ht="27.75" x14ac:dyDescent="0.3">
      <c r="B3" s="107" t="s">
        <v>50</v>
      </c>
      <c r="C3" s="68"/>
      <c r="D3" s="65"/>
      <c r="E3" s="67"/>
      <c r="F3" s="112"/>
      <c r="G3" s="124"/>
      <c r="H3" s="67"/>
      <c r="I3" s="39"/>
      <c r="J3" s="28"/>
    </row>
    <row r="4" spans="1:10" x14ac:dyDescent="0.3">
      <c r="B4" s="108"/>
      <c r="C4" s="69"/>
      <c r="D4" s="65"/>
      <c r="E4" s="67"/>
      <c r="F4" s="112"/>
      <c r="G4" s="124"/>
      <c r="H4" s="67"/>
      <c r="I4" s="39"/>
      <c r="J4" s="28"/>
    </row>
    <row r="5" spans="1:10" x14ac:dyDescent="0.3">
      <c r="B5" s="108"/>
      <c r="C5" s="69"/>
      <c r="D5" s="65"/>
      <c r="E5" s="67"/>
      <c r="F5" s="112"/>
      <c r="G5" s="124"/>
      <c r="H5" s="67"/>
      <c r="I5" s="39"/>
      <c r="J5" s="28"/>
    </row>
    <row r="6" spans="1:10" x14ac:dyDescent="0.3">
      <c r="B6" s="109"/>
      <c r="C6" s="70"/>
      <c r="D6" s="71"/>
      <c r="E6" s="73"/>
      <c r="F6" s="113"/>
      <c r="G6" s="124"/>
      <c r="H6" s="73"/>
      <c r="I6" s="39"/>
      <c r="J6" s="28"/>
    </row>
    <row r="7" spans="1:10" x14ac:dyDescent="0.3">
      <c r="B7" s="109"/>
      <c r="C7" s="70"/>
      <c r="D7" s="71"/>
      <c r="E7" s="73"/>
      <c r="F7" s="113"/>
      <c r="G7" s="124"/>
      <c r="H7" s="73"/>
      <c r="I7" s="39"/>
      <c r="J7" s="28"/>
    </row>
    <row r="8" spans="1:10" ht="30" x14ac:dyDescent="0.3">
      <c r="A8" s="3" t="s">
        <v>68</v>
      </c>
      <c r="B8" s="110" t="s">
        <v>82</v>
      </c>
      <c r="C8" s="74" t="s">
        <v>46</v>
      </c>
      <c r="D8" s="75" t="s">
        <v>11</v>
      </c>
      <c r="E8" s="76" t="s">
        <v>12</v>
      </c>
      <c r="F8" s="114" t="s">
        <v>83</v>
      </c>
      <c r="G8" s="125" t="s">
        <v>84</v>
      </c>
      <c r="H8" s="76" t="s">
        <v>13</v>
      </c>
      <c r="I8" s="62" t="s">
        <v>45</v>
      </c>
      <c r="J8" s="27" t="s">
        <v>85</v>
      </c>
    </row>
    <row r="9" spans="1:10" ht="16.5" x14ac:dyDescent="0.3">
      <c r="B9" s="12">
        <v>41000</v>
      </c>
      <c r="C9" s="13"/>
      <c r="D9" s="14"/>
      <c r="E9" s="15">
        <v>0</v>
      </c>
      <c r="F9" s="115">
        <v>41730</v>
      </c>
      <c r="G9" s="126">
        <v>24</v>
      </c>
      <c r="H9" s="15">
        <v>0</v>
      </c>
      <c r="I9" s="42">
        <f>tblSalesData810[[#This Row],[Purchase cost]]-tblSalesData810[[#This Row],[Rest value]]</f>
        <v>0</v>
      </c>
      <c r="J9" s="63">
        <f>tblSalesData810[[#This Row],[Total depreciation costs]]/tblSalesData810[[#This Row],[Valuable months]]</f>
        <v>0</v>
      </c>
    </row>
    <row r="10" spans="1:10" x14ac:dyDescent="0.3">
      <c r="B10" s="12">
        <v>40634</v>
      </c>
      <c r="C10" s="13"/>
      <c r="D10" s="14"/>
      <c r="E10" s="15">
        <v>0</v>
      </c>
      <c r="F10" s="115">
        <v>42095</v>
      </c>
      <c r="G10" s="127">
        <v>48</v>
      </c>
      <c r="H10" s="15">
        <v>0</v>
      </c>
      <c r="I10" s="42">
        <f>tblSalesData810[[#This Row],[Purchase cost]]-tblSalesData810[[#This Row],[Rest value]]</f>
        <v>0</v>
      </c>
      <c r="J10" s="63">
        <f>tblSalesData810[[#This Row],[Total depreciation costs]]/tblSalesData810[[#This Row],[Valuable months]]</f>
        <v>0</v>
      </c>
    </row>
    <row r="11" spans="1:10" x14ac:dyDescent="0.3">
      <c r="A11" s="77" t="s">
        <v>1</v>
      </c>
      <c r="B11" s="58"/>
      <c r="C11" s="17"/>
      <c r="D11" s="19"/>
      <c r="E11" s="20"/>
      <c r="F11" s="116"/>
      <c r="H11" s="20"/>
      <c r="I11" s="39">
        <f>SUBTOTAL(109,tblSalesData810[Total depreciation costs])</f>
        <v>0</v>
      </c>
      <c r="J11" s="117">
        <f>SUBTOTAL(109,tblSalesData810[Monthly depreciation costs])</f>
        <v>0</v>
      </c>
    </row>
    <row r="12" spans="1:10" x14ac:dyDescent="0.3">
      <c r="B12" s="58"/>
      <c r="C12" s="17"/>
      <c r="D12" s="19"/>
      <c r="E12" s="20"/>
      <c r="F12" s="116"/>
      <c r="H12" s="20"/>
      <c r="I12" s="39"/>
      <c r="J12" s="28"/>
    </row>
    <row r="13" spans="1:10" x14ac:dyDescent="0.3">
      <c r="B13" s="58"/>
      <c r="C13" s="17"/>
      <c r="D13" s="19"/>
      <c r="E13" s="20"/>
      <c r="F13" s="116"/>
      <c r="H13" s="20"/>
    </row>
    <row r="14" spans="1:10" ht="30" x14ac:dyDescent="0.3">
      <c r="A14" s="3" t="s">
        <v>69</v>
      </c>
      <c r="B14" s="110" t="s">
        <v>82</v>
      </c>
      <c r="C14" s="74" t="s">
        <v>46</v>
      </c>
      <c r="D14" s="75" t="s">
        <v>11</v>
      </c>
      <c r="E14" s="76" t="s">
        <v>12</v>
      </c>
      <c r="F14" s="114" t="s">
        <v>83</v>
      </c>
      <c r="G14" s="125" t="s">
        <v>84</v>
      </c>
      <c r="H14" s="76" t="s">
        <v>13</v>
      </c>
      <c r="I14" s="62" t="s">
        <v>45</v>
      </c>
      <c r="J14" s="27" t="s">
        <v>85</v>
      </c>
    </row>
    <row r="15" spans="1:10" ht="16.5" x14ac:dyDescent="0.3">
      <c r="B15" s="12">
        <v>41000</v>
      </c>
      <c r="C15" s="13"/>
      <c r="D15" s="14"/>
      <c r="E15" s="15">
        <v>0</v>
      </c>
      <c r="F15" s="115">
        <v>41730</v>
      </c>
      <c r="G15" s="126">
        <f t="shared" ref="G15:G16" si="0">DATEDIF(B15,F15,"m")</f>
        <v>24</v>
      </c>
      <c r="H15" s="15">
        <v>0</v>
      </c>
      <c r="I15" s="42">
        <f>tblSalesData81082[[#This Row],[Purchase cost]]-tblSalesData81082[[#This Row],[Rest value]]</f>
        <v>0</v>
      </c>
      <c r="J15" s="63">
        <f>tblSalesData81082[[#This Row],[Total depreciation costs]]/tblSalesData81082[[#This Row],[Valuable months]]</f>
        <v>0</v>
      </c>
    </row>
    <row r="16" spans="1:10" x14ac:dyDescent="0.3">
      <c r="B16" s="12">
        <v>40634</v>
      </c>
      <c r="C16" s="13"/>
      <c r="D16" s="14"/>
      <c r="E16" s="15">
        <v>0</v>
      </c>
      <c r="F16" s="115">
        <v>42095</v>
      </c>
      <c r="G16" s="127">
        <f t="shared" si="0"/>
        <v>48</v>
      </c>
      <c r="H16" s="15">
        <v>0</v>
      </c>
      <c r="I16" s="42">
        <f>tblSalesData81082[[#This Row],[Purchase cost]]-tblSalesData81082[[#This Row],[Rest value]]</f>
        <v>0</v>
      </c>
      <c r="J16" s="63">
        <f>tblSalesData81082[[#This Row],[Total depreciation costs]]/tblSalesData81082[[#This Row],[Valuable months]]</f>
        <v>0</v>
      </c>
    </row>
    <row r="17" spans="1:10" x14ac:dyDescent="0.3">
      <c r="A17" s="77" t="s">
        <v>1</v>
      </c>
      <c r="B17" s="58"/>
      <c r="C17" s="17"/>
      <c r="D17" s="19"/>
      <c r="E17" s="20"/>
      <c r="F17" s="116"/>
      <c r="H17" s="20"/>
      <c r="I17" s="39">
        <f>SUBTOTAL(109,tblSalesData81082[Total depreciation costs])</f>
        <v>0</v>
      </c>
      <c r="J17" s="117">
        <f>SUBTOTAL(109,tblSalesData81082[Monthly depreciation costs])</f>
        <v>0</v>
      </c>
    </row>
    <row r="19" spans="1:10" ht="30" x14ac:dyDescent="0.3">
      <c r="A19" s="3" t="s">
        <v>70</v>
      </c>
      <c r="B19" s="110" t="s">
        <v>82</v>
      </c>
      <c r="C19" s="74" t="s">
        <v>46</v>
      </c>
      <c r="D19" s="75" t="s">
        <v>11</v>
      </c>
      <c r="E19" s="76" t="s">
        <v>12</v>
      </c>
      <c r="F19" s="114" t="s">
        <v>83</v>
      </c>
      <c r="G19" s="125" t="s">
        <v>84</v>
      </c>
      <c r="H19" s="76" t="s">
        <v>13</v>
      </c>
      <c r="I19" s="62" t="s">
        <v>45</v>
      </c>
      <c r="J19" s="27" t="s">
        <v>85</v>
      </c>
    </row>
    <row r="20" spans="1:10" ht="16.5" x14ac:dyDescent="0.3">
      <c r="B20" s="12">
        <v>41000</v>
      </c>
      <c r="C20" s="13"/>
      <c r="D20" s="14"/>
      <c r="E20" s="15">
        <v>0</v>
      </c>
      <c r="F20" s="115">
        <v>41730</v>
      </c>
      <c r="G20" s="126">
        <f t="shared" ref="G20:G21" si="1">DATEDIF(B20,F20,"m")</f>
        <v>24</v>
      </c>
      <c r="H20" s="15">
        <v>0</v>
      </c>
      <c r="I20" s="42">
        <f>tblSalesData81083[[#This Row],[Purchase cost]]-tblSalesData81083[[#This Row],[Rest value]]</f>
        <v>0</v>
      </c>
      <c r="J20" s="63">
        <f>tblSalesData81083[[#This Row],[Total depreciation costs]]/tblSalesData81083[[#This Row],[Valuable months]]</f>
        <v>0</v>
      </c>
    </row>
    <row r="21" spans="1:10" x14ac:dyDescent="0.3">
      <c r="B21" s="12">
        <v>40634</v>
      </c>
      <c r="C21" s="13"/>
      <c r="D21" s="14"/>
      <c r="E21" s="15">
        <v>0</v>
      </c>
      <c r="F21" s="115">
        <v>42095</v>
      </c>
      <c r="G21" s="127">
        <f t="shared" si="1"/>
        <v>48</v>
      </c>
      <c r="H21" s="15">
        <v>0</v>
      </c>
      <c r="I21" s="42">
        <f>tblSalesData81083[[#This Row],[Purchase cost]]-tblSalesData81083[[#This Row],[Rest value]]</f>
        <v>0</v>
      </c>
      <c r="J21" s="63">
        <f>tblSalesData81083[[#This Row],[Total depreciation costs]]/tblSalesData81083[[#This Row],[Valuable months]]</f>
        <v>0</v>
      </c>
    </row>
    <row r="22" spans="1:10" x14ac:dyDescent="0.3">
      <c r="A22" s="77" t="s">
        <v>1</v>
      </c>
      <c r="B22" s="58"/>
      <c r="C22" s="17"/>
      <c r="D22" s="19"/>
      <c r="E22" s="20"/>
      <c r="F22" s="116"/>
      <c r="H22" s="20"/>
      <c r="I22" s="39">
        <f>SUBTOTAL(109,tblSalesData81083[Total depreciation costs])</f>
        <v>0</v>
      </c>
      <c r="J22" s="117">
        <f>SUBTOTAL(109,tblSalesData81083[Monthly depreciation costs])</f>
        <v>0</v>
      </c>
    </row>
    <row r="24" spans="1:10" ht="30" x14ac:dyDescent="0.3">
      <c r="A24" s="3" t="s">
        <v>71</v>
      </c>
      <c r="B24" s="110" t="s">
        <v>82</v>
      </c>
      <c r="C24" s="74" t="s">
        <v>46</v>
      </c>
      <c r="D24" s="75" t="s">
        <v>11</v>
      </c>
      <c r="E24" s="76" t="s">
        <v>12</v>
      </c>
      <c r="F24" s="114" t="s">
        <v>83</v>
      </c>
      <c r="G24" s="125" t="s">
        <v>84</v>
      </c>
      <c r="H24" s="76" t="s">
        <v>13</v>
      </c>
      <c r="I24" s="62" t="s">
        <v>45</v>
      </c>
      <c r="J24" s="27" t="s">
        <v>85</v>
      </c>
    </row>
    <row r="25" spans="1:10" ht="16.5" x14ac:dyDescent="0.3">
      <c r="B25" s="12">
        <v>41000</v>
      </c>
      <c r="C25" s="13"/>
      <c r="D25" s="14"/>
      <c r="E25" s="15">
        <v>0</v>
      </c>
      <c r="F25" s="115">
        <v>41730</v>
      </c>
      <c r="G25" s="126">
        <f t="shared" ref="G25:G26" si="2">DATEDIF(B25,F25,"m")</f>
        <v>24</v>
      </c>
      <c r="H25" s="15">
        <v>0</v>
      </c>
      <c r="I25" s="42">
        <f>tblSalesData81084[[#This Row],[Purchase cost]]-tblSalesData81084[[#This Row],[Rest value]]</f>
        <v>0</v>
      </c>
      <c r="J25" s="63">
        <f>tblSalesData81084[[#This Row],[Total depreciation costs]]/tblSalesData81084[[#This Row],[Valuable months]]</f>
        <v>0</v>
      </c>
    </row>
    <row r="26" spans="1:10" x14ac:dyDescent="0.3">
      <c r="B26" s="12">
        <v>40634</v>
      </c>
      <c r="C26" s="13"/>
      <c r="D26" s="14"/>
      <c r="E26" s="15">
        <v>0</v>
      </c>
      <c r="F26" s="115">
        <v>42095</v>
      </c>
      <c r="G26" s="127">
        <f t="shared" si="2"/>
        <v>48</v>
      </c>
      <c r="H26" s="15">
        <v>0</v>
      </c>
      <c r="I26" s="42">
        <f>tblSalesData81084[[#This Row],[Purchase cost]]-tblSalesData81084[[#This Row],[Rest value]]</f>
        <v>0</v>
      </c>
      <c r="J26" s="63">
        <f>tblSalesData81084[[#This Row],[Total depreciation costs]]/tblSalesData81084[[#This Row],[Valuable months]]</f>
        <v>0</v>
      </c>
    </row>
    <row r="27" spans="1:10" x14ac:dyDescent="0.3">
      <c r="A27" s="77" t="s">
        <v>1</v>
      </c>
      <c r="B27" s="58"/>
      <c r="C27" s="17"/>
      <c r="D27" s="19"/>
      <c r="E27" s="20"/>
      <c r="F27" s="116"/>
      <c r="H27" s="20"/>
      <c r="I27" s="39">
        <f>SUBTOTAL(109,tblSalesData81084[Total depreciation costs])</f>
        <v>0</v>
      </c>
      <c r="J27" s="117">
        <f>SUBTOTAL(109,tblSalesData81084[Monthly depreciation costs])</f>
        <v>0</v>
      </c>
    </row>
    <row r="29" spans="1:10" ht="30" x14ac:dyDescent="0.3">
      <c r="A29" s="3" t="s">
        <v>72</v>
      </c>
      <c r="B29" s="110" t="s">
        <v>82</v>
      </c>
      <c r="C29" s="74" t="s">
        <v>46</v>
      </c>
      <c r="D29" s="75" t="s">
        <v>11</v>
      </c>
      <c r="E29" s="76" t="s">
        <v>12</v>
      </c>
      <c r="F29" s="114" t="s">
        <v>83</v>
      </c>
      <c r="G29" s="125" t="s">
        <v>84</v>
      </c>
      <c r="H29" s="76" t="s">
        <v>13</v>
      </c>
      <c r="I29" s="62" t="s">
        <v>45</v>
      </c>
      <c r="J29" s="27" t="s">
        <v>85</v>
      </c>
    </row>
    <row r="30" spans="1:10" ht="16.5" x14ac:dyDescent="0.3">
      <c r="B30" s="12">
        <v>41000</v>
      </c>
      <c r="C30" s="13"/>
      <c r="D30" s="14"/>
      <c r="E30" s="15">
        <v>0</v>
      </c>
      <c r="F30" s="115">
        <v>41730</v>
      </c>
      <c r="G30" s="126">
        <f t="shared" ref="G30:G31" si="3">DATEDIF(B30,F30,"m")</f>
        <v>24</v>
      </c>
      <c r="H30" s="15">
        <v>0</v>
      </c>
      <c r="I30" s="42">
        <f>tblSalesData81085[[#This Row],[Purchase cost]]-tblSalesData81085[[#This Row],[Rest value]]</f>
        <v>0</v>
      </c>
      <c r="J30" s="63">
        <f>tblSalesData81085[[#This Row],[Total depreciation costs]]/tblSalesData81085[[#This Row],[Valuable months]]</f>
        <v>0</v>
      </c>
    </row>
    <row r="31" spans="1:10" x14ac:dyDescent="0.3">
      <c r="B31" s="12">
        <v>40634</v>
      </c>
      <c r="C31" s="13"/>
      <c r="D31" s="14"/>
      <c r="E31" s="15">
        <v>0</v>
      </c>
      <c r="F31" s="115">
        <v>42095</v>
      </c>
      <c r="G31" s="127">
        <f t="shared" si="3"/>
        <v>48</v>
      </c>
      <c r="H31" s="15">
        <v>0</v>
      </c>
      <c r="I31" s="42">
        <f>tblSalesData81085[[#This Row],[Purchase cost]]-tblSalesData81085[[#This Row],[Rest value]]</f>
        <v>0</v>
      </c>
      <c r="J31" s="63">
        <f>tblSalesData81085[[#This Row],[Total depreciation costs]]/tblSalesData81085[[#This Row],[Valuable months]]</f>
        <v>0</v>
      </c>
    </row>
    <row r="32" spans="1:10" x14ac:dyDescent="0.3">
      <c r="A32" s="77" t="s">
        <v>1</v>
      </c>
      <c r="B32" s="58"/>
      <c r="C32" s="17"/>
      <c r="D32" s="19"/>
      <c r="E32" s="20"/>
      <c r="F32" s="116"/>
      <c r="H32" s="20"/>
      <c r="I32" s="39">
        <f>SUBTOTAL(109,tblSalesData81085[Total depreciation costs])</f>
        <v>0</v>
      </c>
      <c r="J32" s="117">
        <f>SUBTOTAL(109,tblSalesData81085[Monthly depreciation costs])</f>
        <v>0</v>
      </c>
    </row>
    <row r="33" spans="1:10" x14ac:dyDescent="0.3">
      <c r="B33" s="58"/>
      <c r="C33" s="17"/>
      <c r="D33" s="19"/>
      <c r="E33" s="20"/>
      <c r="F33" s="116"/>
      <c r="H33" s="20"/>
      <c r="I33" s="39"/>
      <c r="J33" s="28"/>
    </row>
    <row r="34" spans="1:10" x14ac:dyDescent="0.3">
      <c r="B34" s="58"/>
      <c r="C34" s="17"/>
      <c r="D34" s="19"/>
      <c r="E34" s="20"/>
      <c r="F34" s="116"/>
      <c r="H34" s="20"/>
    </row>
    <row r="35" spans="1:10" ht="30" x14ac:dyDescent="0.3">
      <c r="A35" s="3" t="s">
        <v>73</v>
      </c>
      <c r="B35" s="110" t="s">
        <v>82</v>
      </c>
      <c r="C35" s="74" t="s">
        <v>46</v>
      </c>
      <c r="D35" s="75" t="s">
        <v>11</v>
      </c>
      <c r="E35" s="76" t="s">
        <v>12</v>
      </c>
      <c r="F35" s="114" t="s">
        <v>83</v>
      </c>
      <c r="G35" s="125" t="s">
        <v>84</v>
      </c>
      <c r="H35" s="76" t="s">
        <v>13</v>
      </c>
      <c r="I35" s="62" t="s">
        <v>45</v>
      </c>
      <c r="J35" s="27" t="s">
        <v>85</v>
      </c>
    </row>
    <row r="36" spans="1:10" ht="16.5" x14ac:dyDescent="0.3">
      <c r="B36" s="12">
        <v>41000</v>
      </c>
      <c r="C36" s="13"/>
      <c r="D36" s="14"/>
      <c r="E36" s="15">
        <v>0</v>
      </c>
      <c r="F36" s="115">
        <v>41730</v>
      </c>
      <c r="G36" s="126">
        <f t="shared" ref="G36:G37" si="4">DATEDIF(B36,F36,"m")</f>
        <v>24</v>
      </c>
      <c r="H36" s="15">
        <v>0</v>
      </c>
      <c r="I36" s="42">
        <f>tblSalesData8108286[[#This Row],[Purchase cost]]-tblSalesData8108286[[#This Row],[Rest value]]</f>
        <v>0</v>
      </c>
      <c r="J36" s="63">
        <f>tblSalesData8108286[[#This Row],[Total depreciation costs]]/tblSalesData8108286[[#This Row],[Valuable months]]</f>
        <v>0</v>
      </c>
    </row>
    <row r="37" spans="1:10" x14ac:dyDescent="0.3">
      <c r="B37" s="12">
        <v>40634</v>
      </c>
      <c r="C37" s="13"/>
      <c r="D37" s="14"/>
      <c r="E37" s="15">
        <v>0</v>
      </c>
      <c r="F37" s="115">
        <v>42095</v>
      </c>
      <c r="G37" s="127">
        <f t="shared" si="4"/>
        <v>48</v>
      </c>
      <c r="H37" s="15">
        <v>0</v>
      </c>
      <c r="I37" s="42">
        <f>tblSalesData8108286[[#This Row],[Purchase cost]]-tblSalesData8108286[[#This Row],[Rest value]]</f>
        <v>0</v>
      </c>
      <c r="J37" s="63">
        <f>tblSalesData8108286[[#This Row],[Total depreciation costs]]/tblSalesData8108286[[#This Row],[Valuable months]]</f>
        <v>0</v>
      </c>
    </row>
    <row r="38" spans="1:10" x14ac:dyDescent="0.3">
      <c r="A38" s="77" t="s">
        <v>1</v>
      </c>
      <c r="B38" s="58"/>
      <c r="C38" s="17"/>
      <c r="D38" s="19"/>
      <c r="E38" s="20"/>
      <c r="F38" s="116"/>
      <c r="H38" s="20"/>
      <c r="I38" s="39">
        <f>SUBTOTAL(109,tblSalesData8108286[Total depreciation costs])</f>
        <v>0</v>
      </c>
      <c r="J38" s="117">
        <f>SUBTOTAL(109,tblSalesData8108286[Monthly depreciation costs])</f>
        <v>0</v>
      </c>
    </row>
    <row r="40" spans="1:10" ht="30" x14ac:dyDescent="0.3">
      <c r="A40" s="3" t="s">
        <v>74</v>
      </c>
      <c r="B40" s="110" t="s">
        <v>82</v>
      </c>
      <c r="C40" s="74" t="s">
        <v>46</v>
      </c>
      <c r="D40" s="75" t="s">
        <v>11</v>
      </c>
      <c r="E40" s="76" t="s">
        <v>12</v>
      </c>
      <c r="F40" s="114" t="s">
        <v>83</v>
      </c>
      <c r="G40" s="125" t="s">
        <v>84</v>
      </c>
      <c r="H40" s="76" t="s">
        <v>99</v>
      </c>
      <c r="I40" s="62" t="s">
        <v>45</v>
      </c>
      <c r="J40" s="27" t="s">
        <v>85</v>
      </c>
    </row>
    <row r="41" spans="1:10" ht="16.5" x14ac:dyDescent="0.3">
      <c r="B41" s="12">
        <v>41000</v>
      </c>
      <c r="C41" s="13"/>
      <c r="D41" s="14"/>
      <c r="E41" s="15">
        <v>0</v>
      </c>
      <c r="F41" s="115">
        <v>41730</v>
      </c>
      <c r="G41" s="126">
        <f t="shared" ref="G41:G42" si="5">DATEDIF(B41,F41,"m")</f>
        <v>24</v>
      </c>
      <c r="H41" s="15">
        <v>0</v>
      </c>
      <c r="I41" s="42">
        <f>tblSalesData8108387[[#This Row],[Purchase cost]]-tblSalesData8108387[[#This Row],[ ETB -   ]]</f>
        <v>0</v>
      </c>
      <c r="J41" s="63">
        <f>tblSalesData8108387[[#This Row],[Total depreciation costs]]/tblSalesData8108387[[#This Row],[Valuable months]]</f>
        <v>0</v>
      </c>
    </row>
    <row r="42" spans="1:10" x14ac:dyDescent="0.3">
      <c r="B42" s="12">
        <v>40634</v>
      </c>
      <c r="C42" s="13"/>
      <c r="D42" s="14"/>
      <c r="E42" s="15">
        <v>0</v>
      </c>
      <c r="F42" s="115">
        <v>42095</v>
      </c>
      <c r="G42" s="127">
        <f t="shared" si="5"/>
        <v>48</v>
      </c>
      <c r="H42" s="15">
        <v>0</v>
      </c>
      <c r="I42" s="42">
        <f>tblSalesData8108387[[#This Row],[Purchase cost]]-tblSalesData8108387[[#This Row],[ ETB -   ]]</f>
        <v>0</v>
      </c>
      <c r="J42" s="63">
        <f>tblSalesData8108387[[#This Row],[Total depreciation costs]]/tblSalesData8108387[[#This Row],[Valuable months]]</f>
        <v>0</v>
      </c>
    </row>
    <row r="43" spans="1:10" x14ac:dyDescent="0.3">
      <c r="A43" s="77" t="s">
        <v>1</v>
      </c>
      <c r="B43" s="58"/>
      <c r="C43" s="17"/>
      <c r="D43" s="19"/>
      <c r="E43" s="20"/>
      <c r="F43" s="116"/>
      <c r="H43" s="20"/>
      <c r="I43" s="39">
        <f>SUBTOTAL(109,tblSalesData8108387[Total depreciation costs])</f>
        <v>0</v>
      </c>
      <c r="J43" s="117">
        <f>SUBTOTAL(109,tblSalesData8108387[Monthly depreciation costs])</f>
        <v>0</v>
      </c>
    </row>
    <row r="45" spans="1:10" ht="30" x14ac:dyDescent="0.3">
      <c r="A45" s="3" t="s">
        <v>75</v>
      </c>
      <c r="B45" s="110" t="s">
        <v>82</v>
      </c>
      <c r="C45" s="74" t="s">
        <v>46</v>
      </c>
      <c r="D45" s="75" t="s">
        <v>11</v>
      </c>
      <c r="E45" s="76" t="s">
        <v>12</v>
      </c>
      <c r="F45" s="114" t="s">
        <v>83</v>
      </c>
      <c r="G45" s="125" t="s">
        <v>84</v>
      </c>
      <c r="H45" s="76" t="s">
        <v>13</v>
      </c>
      <c r="I45" s="62" t="s">
        <v>45</v>
      </c>
      <c r="J45" s="27" t="s">
        <v>85</v>
      </c>
    </row>
    <row r="46" spans="1:10" ht="16.5" x14ac:dyDescent="0.3">
      <c r="B46" s="12">
        <v>41000</v>
      </c>
      <c r="C46" s="13"/>
      <c r="D46" s="14"/>
      <c r="E46" s="15">
        <v>0</v>
      </c>
      <c r="F46" s="115">
        <v>41730</v>
      </c>
      <c r="G46" s="126">
        <f t="shared" ref="G46:G47" si="6">DATEDIF(B46,F46,"m")</f>
        <v>24</v>
      </c>
      <c r="H46" s="15">
        <v>0</v>
      </c>
      <c r="I46" s="42">
        <f>tblSalesData8108488[[#This Row],[Purchase cost]]-tblSalesData8108488[[#This Row],[Rest value]]</f>
        <v>0</v>
      </c>
      <c r="J46" s="63">
        <f>tblSalesData8108488[[#This Row],[Total depreciation costs]]/tblSalesData8108488[[#This Row],[Valuable months]]</f>
        <v>0</v>
      </c>
    </row>
    <row r="47" spans="1:10" x14ac:dyDescent="0.3">
      <c r="B47" s="12">
        <v>40634</v>
      </c>
      <c r="C47" s="13"/>
      <c r="D47" s="14"/>
      <c r="E47" s="15">
        <v>0</v>
      </c>
      <c r="F47" s="115">
        <v>42095</v>
      </c>
      <c r="G47" s="127">
        <f t="shared" si="6"/>
        <v>48</v>
      </c>
      <c r="H47" s="15">
        <v>0</v>
      </c>
      <c r="I47" s="42">
        <f>tblSalesData8108488[[#This Row],[Purchase cost]]-tblSalesData8108488[[#This Row],[Rest value]]</f>
        <v>0</v>
      </c>
      <c r="J47" s="63">
        <f>tblSalesData8108488[[#This Row],[Total depreciation costs]]/tblSalesData8108488[[#This Row],[Valuable months]]</f>
        <v>0</v>
      </c>
    </row>
    <row r="48" spans="1:10" x14ac:dyDescent="0.3">
      <c r="A48" s="77" t="s">
        <v>1</v>
      </c>
      <c r="B48" s="58"/>
      <c r="C48" s="17"/>
      <c r="D48" s="19"/>
      <c r="E48" s="20"/>
      <c r="F48" s="116"/>
      <c r="H48" s="20"/>
      <c r="I48" s="39">
        <f>SUBTOTAL(109,tblSalesData8108488[Total depreciation costs])</f>
        <v>0</v>
      </c>
      <c r="J48" s="117">
        <f>SUBTOTAL(109,tblSalesData8108488[Monthly depreciation costs])</f>
        <v>0</v>
      </c>
    </row>
    <row r="50" spans="1:10" ht="30" x14ac:dyDescent="0.3">
      <c r="A50" s="3" t="s">
        <v>76</v>
      </c>
      <c r="B50" s="110" t="s">
        <v>82</v>
      </c>
      <c r="C50" s="74" t="s">
        <v>46</v>
      </c>
      <c r="D50" s="75" t="s">
        <v>11</v>
      </c>
      <c r="E50" s="76" t="s">
        <v>12</v>
      </c>
      <c r="F50" s="114" t="s">
        <v>83</v>
      </c>
      <c r="G50" s="125" t="s">
        <v>84</v>
      </c>
      <c r="H50" s="76" t="s">
        <v>13</v>
      </c>
      <c r="I50" s="62" t="s">
        <v>45</v>
      </c>
      <c r="J50" s="27" t="s">
        <v>85</v>
      </c>
    </row>
    <row r="51" spans="1:10" ht="16.5" x14ac:dyDescent="0.3">
      <c r="B51" s="12">
        <v>41000</v>
      </c>
      <c r="C51" s="13"/>
      <c r="D51" s="14"/>
      <c r="E51" s="15">
        <v>0</v>
      </c>
      <c r="F51" s="115">
        <v>41730</v>
      </c>
      <c r="G51" s="126">
        <f t="shared" ref="G51:G52" si="7">DATEDIF(B51,F51,"m")</f>
        <v>24</v>
      </c>
      <c r="H51" s="15">
        <v>0</v>
      </c>
      <c r="I51" s="42">
        <f>tblSalesData81089[[#This Row],[Purchase cost]]-tblSalesData81089[[#This Row],[Rest value]]</f>
        <v>0</v>
      </c>
      <c r="J51" s="63">
        <f>tblSalesData81089[[#This Row],[Total depreciation costs]]/tblSalesData81089[[#This Row],[Valuable months]]</f>
        <v>0</v>
      </c>
    </row>
    <row r="52" spans="1:10" x14ac:dyDescent="0.3">
      <c r="B52" s="12">
        <v>40634</v>
      </c>
      <c r="C52" s="13"/>
      <c r="D52" s="14"/>
      <c r="E52" s="15">
        <v>0</v>
      </c>
      <c r="F52" s="115">
        <v>42095</v>
      </c>
      <c r="G52" s="127">
        <f t="shared" si="7"/>
        <v>48</v>
      </c>
      <c r="H52" s="15">
        <v>0</v>
      </c>
      <c r="I52" s="42">
        <f>tblSalesData81089[[#This Row],[Purchase cost]]-tblSalesData81089[[#This Row],[Rest value]]</f>
        <v>0</v>
      </c>
      <c r="J52" s="63">
        <f>tblSalesData81089[[#This Row],[Total depreciation costs]]/tblSalesData81089[[#This Row],[Valuable months]]</f>
        <v>0</v>
      </c>
    </row>
    <row r="53" spans="1:10" x14ac:dyDescent="0.3">
      <c r="A53" s="77" t="s">
        <v>1</v>
      </c>
      <c r="B53" s="58"/>
      <c r="C53" s="17"/>
      <c r="D53" s="19"/>
      <c r="E53" s="20" t="s">
        <v>99</v>
      </c>
      <c r="F53" s="116"/>
      <c r="H53" s="20"/>
      <c r="I53" s="39">
        <f>SUBTOTAL(109,tblSalesData81089[Total depreciation costs])</f>
        <v>0</v>
      </c>
      <c r="J53" s="117">
        <f>SUBTOTAL(109,tblSalesData81089[Monthly depreciation costs])</f>
        <v>0</v>
      </c>
    </row>
    <row r="54" spans="1:10" x14ac:dyDescent="0.3">
      <c r="B54" s="58"/>
      <c r="C54" s="17"/>
      <c r="D54" s="19"/>
      <c r="E54" s="20"/>
      <c r="F54" s="116"/>
      <c r="H54" s="20"/>
      <c r="I54" s="39"/>
      <c r="J54" s="28"/>
    </row>
    <row r="55" spans="1:10" x14ac:dyDescent="0.3">
      <c r="B55" s="58"/>
      <c r="C55" s="17"/>
      <c r="D55" s="19"/>
      <c r="E55" s="20"/>
      <c r="F55" s="116"/>
      <c r="H55" s="20"/>
    </row>
    <row r="56" spans="1:10" ht="30" x14ac:dyDescent="0.3">
      <c r="A56" s="3" t="s">
        <v>77</v>
      </c>
      <c r="B56" s="110" t="s">
        <v>82</v>
      </c>
      <c r="C56" s="74" t="s">
        <v>46</v>
      </c>
      <c r="D56" s="75" t="s">
        <v>11</v>
      </c>
      <c r="E56" s="76" t="s">
        <v>12</v>
      </c>
      <c r="F56" s="114" t="s">
        <v>83</v>
      </c>
      <c r="G56" s="125" t="s">
        <v>84</v>
      </c>
      <c r="H56" s="76" t="s">
        <v>13</v>
      </c>
      <c r="I56" s="62" t="s">
        <v>45</v>
      </c>
      <c r="J56" s="27" t="s">
        <v>85</v>
      </c>
    </row>
    <row r="57" spans="1:10" ht="16.5" x14ac:dyDescent="0.3">
      <c r="B57" s="12">
        <v>41000</v>
      </c>
      <c r="C57" s="13"/>
      <c r="D57" s="14"/>
      <c r="E57" s="15">
        <v>100</v>
      </c>
      <c r="F57" s="115">
        <v>41730</v>
      </c>
      <c r="G57" s="126">
        <f t="shared" ref="G57:G58" si="8">DATEDIF(B57,F57,"m")</f>
        <v>24</v>
      </c>
      <c r="H57" s="15">
        <v>50</v>
      </c>
      <c r="I57" s="42">
        <f>tblSalesData8108290[[#This Row],[Purchase cost]]-tblSalesData8108290[[#This Row],[Rest value]]</f>
        <v>50</v>
      </c>
      <c r="J57" s="63"/>
    </row>
    <row r="58" spans="1:10" x14ac:dyDescent="0.3">
      <c r="B58" s="12">
        <v>40634</v>
      </c>
      <c r="C58" s="13"/>
      <c r="D58" s="14"/>
      <c r="E58" s="15">
        <v>110</v>
      </c>
      <c r="F58" s="115">
        <v>42095</v>
      </c>
      <c r="G58" s="127">
        <f t="shared" si="8"/>
        <v>48</v>
      </c>
      <c r="H58" s="15">
        <v>50</v>
      </c>
      <c r="I58" s="42">
        <f>tblSalesData8108290[[#This Row],[Purchase cost]]-tblSalesData8108290[[#This Row],[Rest value]]</f>
        <v>60</v>
      </c>
      <c r="J58" s="63"/>
    </row>
    <row r="59" spans="1:10" x14ac:dyDescent="0.3">
      <c r="A59" s="77" t="s">
        <v>1</v>
      </c>
      <c r="B59" s="58"/>
      <c r="C59" s="17"/>
      <c r="D59" s="19"/>
      <c r="E59" s="20"/>
      <c r="F59" s="116"/>
      <c r="H59" s="20"/>
      <c r="I59" s="39">
        <f>SUBTOTAL(109,tblSalesData8108290[Total depreciation costs])</f>
        <v>110</v>
      </c>
      <c r="J59" s="117">
        <f>SUBTOTAL(109,tblSalesData8108290[Monthly depreciation costs])</f>
        <v>0</v>
      </c>
    </row>
    <row r="61" spans="1:10" ht="30" x14ac:dyDescent="0.3">
      <c r="A61" s="3" t="s">
        <v>78</v>
      </c>
      <c r="B61" s="110" t="s">
        <v>82</v>
      </c>
      <c r="C61" s="74" t="s">
        <v>46</v>
      </c>
      <c r="D61" s="75" t="s">
        <v>11</v>
      </c>
      <c r="E61" s="76" t="s">
        <v>12</v>
      </c>
      <c r="F61" s="114" t="s">
        <v>83</v>
      </c>
      <c r="G61" s="125" t="s">
        <v>84</v>
      </c>
      <c r="H61" s="76" t="s">
        <v>13</v>
      </c>
      <c r="I61" s="62" t="s">
        <v>45</v>
      </c>
      <c r="J61" s="27" t="s">
        <v>85</v>
      </c>
    </row>
    <row r="62" spans="1:10" ht="16.5" x14ac:dyDescent="0.3">
      <c r="B62" s="12">
        <v>41000</v>
      </c>
      <c r="C62" s="13"/>
      <c r="D62" s="14"/>
      <c r="E62" s="15">
        <v>100</v>
      </c>
      <c r="F62" s="115">
        <v>41730</v>
      </c>
      <c r="G62" s="126">
        <f t="shared" ref="G62:G63" si="9">DATEDIF(B62,F62,"m")</f>
        <v>24</v>
      </c>
      <c r="H62" s="15">
        <v>50</v>
      </c>
      <c r="I62" s="42">
        <f>tblSalesData8108391[[#This Row],[Purchase cost]]-tblSalesData8108391[[#This Row],[Rest value]]</f>
        <v>50</v>
      </c>
      <c r="J62" s="63"/>
    </row>
    <row r="63" spans="1:10" x14ac:dyDescent="0.3">
      <c r="B63" s="12">
        <v>40634</v>
      </c>
      <c r="C63" s="13"/>
      <c r="D63" s="14"/>
      <c r="E63" s="15">
        <v>110</v>
      </c>
      <c r="F63" s="115">
        <v>42095</v>
      </c>
      <c r="G63" s="127">
        <f t="shared" si="9"/>
        <v>48</v>
      </c>
      <c r="H63" s="15">
        <v>50</v>
      </c>
      <c r="I63" s="42">
        <f>tblSalesData8108391[[#This Row],[Purchase cost]]-tblSalesData8108391[[#This Row],[Rest value]]</f>
        <v>60</v>
      </c>
      <c r="J63" s="63"/>
    </row>
    <row r="64" spans="1:10" x14ac:dyDescent="0.3">
      <c r="A64" s="77" t="s">
        <v>1</v>
      </c>
      <c r="B64" s="58"/>
      <c r="C64" s="17"/>
      <c r="D64" s="19"/>
      <c r="E64" s="20"/>
      <c r="F64" s="116"/>
      <c r="H64" s="20"/>
      <c r="I64" s="39">
        <f>SUBTOTAL(109,tblSalesData8108391[Total depreciation costs])</f>
        <v>110</v>
      </c>
      <c r="J64" s="117">
        <f>SUBTOTAL(109,tblSalesData8108391[Monthly depreciation costs])</f>
        <v>0</v>
      </c>
    </row>
    <row r="66" spans="1:10" ht="30" x14ac:dyDescent="0.3">
      <c r="A66" s="3" t="s">
        <v>79</v>
      </c>
      <c r="B66" s="110" t="s">
        <v>82</v>
      </c>
      <c r="C66" s="74" t="s">
        <v>46</v>
      </c>
      <c r="D66" s="75" t="s">
        <v>11</v>
      </c>
      <c r="E66" s="76" t="s">
        <v>12</v>
      </c>
      <c r="F66" s="114" t="s">
        <v>83</v>
      </c>
      <c r="G66" s="125" t="s">
        <v>84</v>
      </c>
      <c r="H66" s="76" t="s">
        <v>13</v>
      </c>
      <c r="I66" s="62" t="s">
        <v>45</v>
      </c>
      <c r="J66" s="27" t="s">
        <v>85</v>
      </c>
    </row>
    <row r="67" spans="1:10" ht="16.5" x14ac:dyDescent="0.3">
      <c r="B67" s="12">
        <v>41000</v>
      </c>
      <c r="C67" s="13"/>
      <c r="D67" s="14"/>
      <c r="E67" s="15">
        <v>100</v>
      </c>
      <c r="F67" s="115">
        <v>41730</v>
      </c>
      <c r="G67" s="126">
        <f t="shared" ref="G67:G68" si="10">DATEDIF(B67,F67,"m")</f>
        <v>24</v>
      </c>
      <c r="H67" s="15">
        <v>50</v>
      </c>
      <c r="I67" s="42">
        <f>tblSalesData8108492[[#This Row],[Purchase cost]]-tblSalesData8108492[[#This Row],[Rest value]]</f>
        <v>50</v>
      </c>
      <c r="J67" s="63"/>
    </row>
    <row r="68" spans="1:10" x14ac:dyDescent="0.3">
      <c r="B68" s="12">
        <v>40634</v>
      </c>
      <c r="C68" s="13"/>
      <c r="D68" s="14"/>
      <c r="E68" s="15">
        <v>110</v>
      </c>
      <c r="F68" s="115">
        <v>42095</v>
      </c>
      <c r="G68" s="127">
        <f t="shared" si="10"/>
        <v>48</v>
      </c>
      <c r="H68" s="15">
        <v>50</v>
      </c>
      <c r="I68" s="42">
        <f>tblSalesData8108492[[#This Row],[Purchase cost]]-tblSalesData8108492[[#This Row],[Rest value]]</f>
        <v>60</v>
      </c>
      <c r="J68" s="63"/>
    </row>
    <row r="69" spans="1:10" x14ac:dyDescent="0.3">
      <c r="A69" s="77" t="s">
        <v>1</v>
      </c>
      <c r="B69" s="58"/>
      <c r="C69" s="17"/>
      <c r="D69" s="19"/>
      <c r="E69" s="20"/>
      <c r="F69" s="116"/>
      <c r="H69" s="20"/>
      <c r="I69" s="39">
        <f>SUBTOTAL(109,tblSalesData8108492[Total depreciation costs])</f>
        <v>110</v>
      </c>
      <c r="J69" s="117">
        <f>SUBTOTAL(109,tblSalesData8108492[Monthly depreciation costs])</f>
        <v>0</v>
      </c>
    </row>
    <row r="71" spans="1:10" ht="30" x14ac:dyDescent="0.3">
      <c r="A71" s="23" t="s">
        <v>80</v>
      </c>
      <c r="B71" s="110" t="s">
        <v>82</v>
      </c>
      <c r="C71" s="74" t="s">
        <v>46</v>
      </c>
      <c r="D71" s="75" t="s">
        <v>11</v>
      </c>
      <c r="E71" s="76" t="s">
        <v>12</v>
      </c>
      <c r="F71" s="114" t="s">
        <v>83</v>
      </c>
      <c r="G71" s="125" t="s">
        <v>84</v>
      </c>
      <c r="H71" s="76" t="s">
        <v>13</v>
      </c>
      <c r="I71" s="62" t="s">
        <v>45</v>
      </c>
      <c r="J71" s="27" t="s">
        <v>85</v>
      </c>
    </row>
    <row r="72" spans="1:10" ht="16.5" x14ac:dyDescent="0.3">
      <c r="B72" s="12">
        <v>41000</v>
      </c>
      <c r="C72" s="13"/>
      <c r="D72" s="14"/>
      <c r="E72" s="15">
        <v>100</v>
      </c>
      <c r="F72" s="115">
        <v>41730</v>
      </c>
      <c r="G72" s="126">
        <f t="shared" ref="G72:G73" si="11">DATEDIF(B72,F72,"m")</f>
        <v>24</v>
      </c>
      <c r="H72" s="15">
        <v>50</v>
      </c>
      <c r="I72" s="42">
        <f>tblSalesData810849293[[#This Row],[Purchase cost]]-tblSalesData810849293[[#This Row],[Rest value]]</f>
        <v>50</v>
      </c>
      <c r="J72" s="63"/>
    </row>
    <row r="73" spans="1:10" x14ac:dyDescent="0.3">
      <c r="B73" s="12">
        <v>40634</v>
      </c>
      <c r="C73" s="13"/>
      <c r="D73" s="14"/>
      <c r="E73" s="15">
        <v>110</v>
      </c>
      <c r="F73" s="115">
        <v>42095</v>
      </c>
      <c r="G73" s="127">
        <f t="shared" si="11"/>
        <v>48</v>
      </c>
      <c r="H73" s="15">
        <v>50</v>
      </c>
      <c r="I73" s="42">
        <f>tblSalesData810849293[[#This Row],[Purchase cost]]-tblSalesData810849293[[#This Row],[Rest value]]</f>
        <v>60</v>
      </c>
      <c r="J73" s="63"/>
    </row>
    <row r="74" spans="1:10" x14ac:dyDescent="0.3">
      <c r="A74" s="77" t="s">
        <v>1</v>
      </c>
      <c r="B74" s="58"/>
      <c r="C74" s="17"/>
      <c r="D74" s="19"/>
      <c r="E74" s="20"/>
      <c r="F74" s="116"/>
      <c r="H74" s="20"/>
      <c r="I74" s="39">
        <f>SUBTOTAL(109,tblSalesData810849293[Total depreciation costs])</f>
        <v>110</v>
      </c>
      <c r="J74" s="117">
        <f>SUBTOTAL(109,tblSalesData810849293[Monthly depreciation costs])</f>
        <v>0</v>
      </c>
    </row>
  </sheetData>
  <sheetProtection sort="0"/>
  <dataValidations count="1">
    <dataValidation type="list" errorStyle="warning" allowBlank="1" showInputMessage="1" showErrorMessage="1" errorTitle="Whoops!" error="These numbers are from a list on the Inventory sheet.  To add it to the drop down list, click Cancel, go to the Inventory sheet and add it to the list." sqref="F9:F10 G10 F15:F16 G16 F20:F21 G21 F25:F26 G26 F30:F31 G31 F36:F37 G37 F41:F42 G42 F46:F47 G47 F51:F52 G52 F57:F58 G58 F62:F63 G63 F67:F68 G68 F72:F73 G73">
      <formula1>PN</formula1>
    </dataValidation>
  </dataValidations>
  <pageMargins left="0.7" right="0.7" top="0.75" bottom="0.75" header="0.3" footer="0.3"/>
  <pageSetup paperSize="9" orientation="portrait" r:id="rId1"/>
  <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25"/>
  <sheetViews>
    <sheetView zoomScale="80" zoomScaleNormal="80" workbookViewId="0">
      <selection activeCell="G10" sqref="G10"/>
    </sheetView>
  </sheetViews>
  <sheetFormatPr defaultColWidth="9.140625" defaultRowHeight="15" x14ac:dyDescent="0.3"/>
  <cols>
    <col min="1" max="1" width="10.42578125" style="98" customWidth="1"/>
    <col min="2" max="2" width="27.85546875" style="3" customWidth="1"/>
    <col min="3" max="3" width="15.140625" style="3" customWidth="1"/>
    <col min="4" max="4" width="21.85546875" style="3" customWidth="1"/>
    <col min="5" max="5" width="34.28515625" style="3" customWidth="1"/>
    <col min="6" max="6" width="23.7109375" style="5" customWidth="1"/>
    <col min="7" max="7" width="19.28515625" style="45" customWidth="1"/>
    <col min="8" max="8" width="47.85546875" style="30" customWidth="1"/>
    <col min="9" max="16384" width="9.140625" style="3"/>
  </cols>
  <sheetData>
    <row r="1" spans="1:8" x14ac:dyDescent="0.3">
      <c r="B1" s="43"/>
      <c r="C1" s="43"/>
      <c r="D1" s="4"/>
      <c r="E1" s="44"/>
    </row>
    <row r="2" spans="1:8" ht="36" x14ac:dyDescent="0.3">
      <c r="B2" s="46" t="s">
        <v>20</v>
      </c>
      <c r="C2" s="46"/>
      <c r="D2" s="4"/>
      <c r="E2" s="44"/>
    </row>
    <row r="3" spans="1:8" ht="36" x14ac:dyDescent="0.3">
      <c r="B3" s="47"/>
      <c r="C3" s="47"/>
      <c r="D3" s="4"/>
      <c r="E3" s="44"/>
    </row>
    <row r="4" spans="1:8" x14ac:dyDescent="0.3">
      <c r="B4" s="43"/>
      <c r="C4" s="43"/>
      <c r="D4" s="4"/>
      <c r="E4" s="44"/>
    </row>
    <row r="5" spans="1:8" x14ac:dyDescent="0.3">
      <c r="B5" s="43"/>
      <c r="C5" s="43"/>
      <c r="D5" s="4"/>
      <c r="E5" s="44"/>
    </row>
    <row r="6" spans="1:8" x14ac:dyDescent="0.3">
      <c r="B6" s="48"/>
      <c r="C6" s="48"/>
      <c r="D6" s="9"/>
      <c r="E6" s="49"/>
      <c r="F6" s="10"/>
      <c r="G6" s="50"/>
    </row>
    <row r="7" spans="1:8" x14ac:dyDescent="0.3">
      <c r="A7" s="120" t="s">
        <v>68</v>
      </c>
      <c r="B7" s="99"/>
      <c r="C7" s="48"/>
      <c r="D7" s="9"/>
      <c r="E7" s="49"/>
      <c r="F7" s="10"/>
      <c r="G7" s="50"/>
    </row>
    <row r="8" spans="1:8" x14ac:dyDescent="0.3">
      <c r="B8" s="51" t="s">
        <v>15</v>
      </c>
      <c r="C8" s="51" t="s">
        <v>46</v>
      </c>
      <c r="D8" s="52" t="s">
        <v>16</v>
      </c>
      <c r="E8" s="53" t="s">
        <v>17</v>
      </c>
      <c r="F8" s="54" t="s">
        <v>49</v>
      </c>
      <c r="G8" s="55" t="s">
        <v>18</v>
      </c>
      <c r="H8" s="61" t="s">
        <v>19</v>
      </c>
    </row>
    <row r="9" spans="1:8" x14ac:dyDescent="0.3">
      <c r="B9" s="300">
        <v>43728</v>
      </c>
      <c r="C9" s="12"/>
      <c r="D9" s="52" t="s">
        <v>132</v>
      </c>
      <c r="E9" s="53" t="s">
        <v>133</v>
      </c>
      <c r="F9" s="54">
        <v>500</v>
      </c>
      <c r="G9" s="55">
        <v>0</v>
      </c>
      <c r="H9" s="61">
        <f>tblSalesData89[[#This Row],[Salary or labor costs]]-tblSalesData89[[#This Row],[TAXES in %]]</f>
        <v>500</v>
      </c>
    </row>
    <row r="10" spans="1:8" x14ac:dyDescent="0.3">
      <c r="B10" s="300">
        <v>43728</v>
      </c>
      <c r="C10" s="12"/>
      <c r="D10" s="52" t="s">
        <v>134</v>
      </c>
      <c r="E10" s="53" t="s">
        <v>135</v>
      </c>
      <c r="F10" s="54">
        <v>500</v>
      </c>
      <c r="G10" s="55">
        <v>0</v>
      </c>
      <c r="H10" s="61">
        <f>tblSalesData89[[#This Row],[Salary or labor costs]]-tblSalesData89[[#This Row],[TAXES in %]]</f>
        <v>500</v>
      </c>
    </row>
    <row r="11" spans="1:8" x14ac:dyDescent="0.3">
      <c r="B11" s="51"/>
      <c r="C11" s="12"/>
      <c r="D11" s="52"/>
      <c r="E11" s="53"/>
      <c r="F11" s="54">
        <v>0</v>
      </c>
      <c r="G11" s="55">
        <v>0</v>
      </c>
      <c r="H11" s="61">
        <f>tblSalesData89[[#This Row],[Salary or labor costs]]-tblSalesData89[[#This Row],[TAXES in %]]</f>
        <v>0</v>
      </c>
    </row>
    <row r="12" spans="1:8" x14ac:dyDescent="0.3">
      <c r="B12" s="51"/>
      <c r="C12" s="12"/>
      <c r="D12" s="52"/>
      <c r="E12" s="53"/>
      <c r="F12" s="54">
        <v>0</v>
      </c>
      <c r="G12" s="55">
        <v>0</v>
      </c>
      <c r="H12" s="61">
        <f>tblSalesData89[[#This Row],[Salary or labor costs]]-tblSalesData89[[#This Row],[TAXES in %]]</f>
        <v>0</v>
      </c>
    </row>
    <row r="13" spans="1:8" x14ac:dyDescent="0.3">
      <c r="B13" s="12"/>
      <c r="C13" s="12"/>
      <c r="D13" s="14"/>
      <c r="E13" s="56"/>
      <c r="F13" s="15">
        <v>0</v>
      </c>
      <c r="G13" s="57">
        <v>0</v>
      </c>
      <c r="H13" s="61">
        <f>tblSalesData89[[#This Row],[Salary or labor costs]]-tblSalesData89[[#This Row],[TAXES in %]]</f>
        <v>0</v>
      </c>
    </row>
    <row r="14" spans="1:8" x14ac:dyDescent="0.3">
      <c r="B14" s="12"/>
      <c r="C14" s="12"/>
      <c r="D14" s="14"/>
      <c r="E14" s="56"/>
      <c r="F14" s="15">
        <v>0</v>
      </c>
      <c r="G14" s="57">
        <v>0</v>
      </c>
      <c r="H14" s="61">
        <f>tblSalesData89[[#This Row],[Salary or labor costs]]-tblSalesData89[[#This Row],[TAXES in %]]</f>
        <v>0</v>
      </c>
    </row>
    <row r="15" spans="1:8" x14ac:dyDescent="0.3">
      <c r="A15" s="121" t="s">
        <v>1</v>
      </c>
      <c r="B15" s="58"/>
      <c r="C15" s="58"/>
      <c r="D15" s="19"/>
      <c r="E15" s="59"/>
      <c r="F15" s="20">
        <f>SUBTOTAL(109,tblSalesData89[Salary or labor costs])</f>
        <v>1000</v>
      </c>
      <c r="G15" s="60">
        <f>SUBTOTAL(1,tblSalesData89[TAXES in %])</f>
        <v>0</v>
      </c>
      <c r="H15" s="39">
        <f>SUBTOTAL(109,tblSalesData89[Total payment])</f>
        <v>1000</v>
      </c>
    </row>
    <row r="16" spans="1:8" x14ac:dyDescent="0.3">
      <c r="E16" s="44"/>
    </row>
    <row r="17" spans="1:8" x14ac:dyDescent="0.3">
      <c r="A17" s="120" t="s">
        <v>69</v>
      </c>
      <c r="B17" s="99"/>
      <c r="C17" s="48"/>
      <c r="D17" s="9"/>
      <c r="E17" s="49"/>
      <c r="F17" s="10"/>
      <c r="G17" s="50"/>
    </row>
    <row r="18" spans="1:8" ht="19.5" customHeight="1" x14ac:dyDescent="0.3">
      <c r="B18" s="51" t="s">
        <v>15</v>
      </c>
      <c r="C18" s="51" t="s">
        <v>46</v>
      </c>
      <c r="D18" s="52" t="s">
        <v>16</v>
      </c>
      <c r="E18" s="53" t="s">
        <v>17</v>
      </c>
      <c r="F18" s="54" t="s">
        <v>49</v>
      </c>
      <c r="G18" s="55" t="s">
        <v>18</v>
      </c>
      <c r="H18" s="61" t="s">
        <v>19</v>
      </c>
    </row>
    <row r="19" spans="1:8" ht="19.5" customHeight="1" x14ac:dyDescent="0.3">
      <c r="B19" s="51"/>
      <c r="C19" s="12"/>
      <c r="D19" s="52"/>
      <c r="E19" s="53"/>
      <c r="F19" s="54">
        <v>0</v>
      </c>
      <c r="G19" s="55">
        <v>0</v>
      </c>
      <c r="H19" s="61">
        <f>tblSalesData8948[[#This Row],[Salary or labor costs]]-tblSalesData8948[[#This Row],[TAXES in %]]</f>
        <v>0</v>
      </c>
    </row>
    <row r="20" spans="1:8" ht="19.5" customHeight="1" x14ac:dyDescent="0.3">
      <c r="B20" s="51"/>
      <c r="C20" s="12"/>
      <c r="D20" s="52"/>
      <c r="E20" s="53"/>
      <c r="F20" s="54">
        <v>0</v>
      </c>
      <c r="G20" s="55">
        <v>0</v>
      </c>
      <c r="H20" s="61">
        <f>tblSalesData8948[[#This Row],[Salary or labor costs]]-tblSalesData8948[[#This Row],[TAXES in %]]</f>
        <v>0</v>
      </c>
    </row>
    <row r="21" spans="1:8" ht="19.5" customHeight="1" x14ac:dyDescent="0.3">
      <c r="B21" s="51"/>
      <c r="C21" s="12"/>
      <c r="D21" s="52"/>
      <c r="E21" s="53"/>
      <c r="F21" s="54">
        <v>0</v>
      </c>
      <c r="G21" s="55">
        <v>0</v>
      </c>
      <c r="H21" s="61">
        <f>tblSalesData8948[[#This Row],[Salary or labor costs]]-tblSalesData8948[[#This Row],[TAXES in %]]</f>
        <v>0</v>
      </c>
    </row>
    <row r="22" spans="1:8" ht="19.5" customHeight="1" x14ac:dyDescent="0.3">
      <c r="B22" s="51"/>
      <c r="C22" s="12"/>
      <c r="D22" s="52"/>
      <c r="E22" s="53"/>
      <c r="F22" s="54">
        <v>0</v>
      </c>
      <c r="G22" s="55">
        <v>0</v>
      </c>
      <c r="H22" s="61">
        <f>tblSalesData8948[[#This Row],[Salary or labor costs]]+tblSalesData8948[[#This Row],[Salary or labor costs]]*tblSalesData8948[[#This Row],[TAXES in %]]</f>
        <v>0</v>
      </c>
    </row>
    <row r="23" spans="1:8" x14ac:dyDescent="0.3">
      <c r="B23" s="12"/>
      <c r="C23" s="12"/>
      <c r="D23" s="14"/>
      <c r="E23" s="56"/>
      <c r="F23" s="15">
        <v>0</v>
      </c>
      <c r="G23" s="57">
        <v>0</v>
      </c>
      <c r="H23" s="25">
        <f>tblSalesData8948[[#This Row],[Salary or labor costs]]+tblSalesData8948[[#This Row],[Salary or labor costs]]*tblSalesData8948[[#This Row],[TAXES in %]]</f>
        <v>0</v>
      </c>
    </row>
    <row r="24" spans="1:8" x14ac:dyDescent="0.3">
      <c r="B24" s="12"/>
      <c r="C24" s="12"/>
      <c r="D24" s="14"/>
      <c r="E24" s="56"/>
      <c r="F24" s="15">
        <v>0</v>
      </c>
      <c r="G24" s="57">
        <v>0</v>
      </c>
      <c r="H24" s="25">
        <f>tblSalesData8948[[#This Row],[Salary or labor costs]]+tblSalesData8948[[#This Row],[Salary or labor costs]]*tblSalesData8948[[#This Row],[TAXES in %]]</f>
        <v>0</v>
      </c>
    </row>
    <row r="25" spans="1:8" x14ac:dyDescent="0.3">
      <c r="A25" s="121" t="s">
        <v>1</v>
      </c>
      <c r="B25" s="58"/>
      <c r="C25" s="58"/>
      <c r="D25" s="19"/>
      <c r="E25" s="59"/>
      <c r="F25" s="20">
        <f>SUBTOTAL(109,tblSalesData8948[Salary or labor costs])</f>
        <v>0</v>
      </c>
      <c r="G25" s="60">
        <f>SUBTOTAL(1,tblSalesData8948[TAXES in %])</f>
        <v>0</v>
      </c>
      <c r="H25" s="39">
        <f>SUBTOTAL(109,tblSalesData8948[Total payment])</f>
        <v>0</v>
      </c>
    </row>
    <row r="27" spans="1:8" x14ac:dyDescent="0.3">
      <c r="A27" s="120" t="s">
        <v>70</v>
      </c>
      <c r="B27" s="99"/>
      <c r="C27" s="48"/>
      <c r="D27" s="9"/>
      <c r="E27" s="49"/>
      <c r="F27" s="10"/>
      <c r="G27" s="50"/>
    </row>
    <row r="28" spans="1:8" x14ac:dyDescent="0.3">
      <c r="B28" s="51" t="s">
        <v>15</v>
      </c>
      <c r="C28" s="51" t="s">
        <v>46</v>
      </c>
      <c r="D28" s="52" t="s">
        <v>16</v>
      </c>
      <c r="E28" s="53" t="s">
        <v>17</v>
      </c>
      <c r="F28" s="54" t="s">
        <v>49</v>
      </c>
      <c r="G28" s="55" t="s">
        <v>18</v>
      </c>
      <c r="H28" s="61" t="s">
        <v>19</v>
      </c>
    </row>
    <row r="29" spans="1:8" x14ac:dyDescent="0.3">
      <c r="B29" s="51"/>
      <c r="C29" s="12"/>
      <c r="D29" s="52"/>
      <c r="E29" s="53"/>
      <c r="F29" s="15">
        <v>0</v>
      </c>
      <c r="G29" s="55"/>
      <c r="H29" s="61">
        <f>tblSalesData8949[[#This Row],[Salary or labor costs]]-tblSalesData8949[[#This Row],[TAXES in %]]</f>
        <v>0</v>
      </c>
    </row>
    <row r="30" spans="1:8" x14ac:dyDescent="0.3">
      <c r="B30" s="51"/>
      <c r="C30" s="12"/>
      <c r="D30" s="52"/>
      <c r="E30" s="53"/>
      <c r="F30" s="15">
        <v>0</v>
      </c>
      <c r="G30" s="55"/>
      <c r="H30" s="61">
        <f>tblSalesData8949[[#This Row],[Salary or labor costs]]-tblSalesData8949[[#This Row],[TAXES in %]]</f>
        <v>0</v>
      </c>
    </row>
    <row r="31" spans="1:8" x14ac:dyDescent="0.3">
      <c r="B31" s="51"/>
      <c r="C31" s="12"/>
      <c r="D31" s="52"/>
      <c r="E31" s="53"/>
      <c r="F31" s="15">
        <v>0</v>
      </c>
      <c r="G31" s="55"/>
      <c r="H31" s="61">
        <f>tblSalesData8949[[#This Row],[Salary or labor costs]]-tblSalesData8949[[#This Row],[TAXES in %]]</f>
        <v>0</v>
      </c>
    </row>
    <row r="32" spans="1:8" x14ac:dyDescent="0.3">
      <c r="B32" s="51"/>
      <c r="C32" s="12"/>
      <c r="D32" s="52"/>
      <c r="E32" s="53"/>
      <c r="F32" s="15">
        <v>0</v>
      </c>
      <c r="G32" s="55"/>
      <c r="H32" s="61"/>
    </row>
    <row r="33" spans="1:8" x14ac:dyDescent="0.3">
      <c r="B33" s="12"/>
      <c r="C33" s="12"/>
      <c r="D33" s="14"/>
      <c r="E33" s="56"/>
      <c r="F33" s="15">
        <v>0</v>
      </c>
      <c r="G33" s="57">
        <v>0</v>
      </c>
      <c r="H33" s="25">
        <f>tblSalesData8949[[#This Row],[Salary or labor costs]]+tblSalesData8949[[#This Row],[Salary or labor costs]]*tblSalesData8949[[#This Row],[TAXES in %]]</f>
        <v>0</v>
      </c>
    </row>
    <row r="34" spans="1:8" x14ac:dyDescent="0.3">
      <c r="B34" s="12"/>
      <c r="C34" s="12"/>
      <c r="D34" s="14"/>
      <c r="E34" s="56"/>
      <c r="F34" s="15">
        <v>0</v>
      </c>
      <c r="G34" s="57">
        <v>0</v>
      </c>
      <c r="H34" s="25">
        <f>tblSalesData8949[[#This Row],[Salary or labor costs]]+tblSalesData8949[[#This Row],[Salary or labor costs]]*tblSalesData8949[[#This Row],[TAXES in %]]</f>
        <v>0</v>
      </c>
    </row>
    <row r="35" spans="1:8" x14ac:dyDescent="0.3">
      <c r="A35" s="121" t="s">
        <v>1</v>
      </c>
      <c r="B35" s="58"/>
      <c r="C35" s="58"/>
      <c r="D35" s="19"/>
      <c r="E35" s="59"/>
      <c r="F35" s="20">
        <f>SUBTOTAL(109,tblSalesData8949[Salary or labor costs])</f>
        <v>0</v>
      </c>
      <c r="G35" s="60">
        <f>SUBTOTAL(1,tblSalesData8949[TAXES in %])</f>
        <v>0</v>
      </c>
      <c r="H35" s="39">
        <f>SUBTOTAL(109,tblSalesData8949[Total payment])</f>
        <v>0</v>
      </c>
    </row>
    <row r="36" spans="1:8" x14ac:dyDescent="0.3">
      <c r="E36" s="44"/>
    </row>
    <row r="37" spans="1:8" x14ac:dyDescent="0.3">
      <c r="A37" s="120" t="s">
        <v>71</v>
      </c>
      <c r="B37" s="99"/>
      <c r="C37" s="48"/>
      <c r="D37" s="9"/>
      <c r="E37" s="49"/>
      <c r="F37" s="10"/>
      <c r="G37" s="50"/>
    </row>
    <row r="38" spans="1:8" x14ac:dyDescent="0.3">
      <c r="B38" s="51" t="s">
        <v>15</v>
      </c>
      <c r="C38" s="51" t="s">
        <v>46</v>
      </c>
      <c r="D38" s="52" t="s">
        <v>16</v>
      </c>
      <c r="E38" s="53" t="s">
        <v>17</v>
      </c>
      <c r="F38" s="54" t="s">
        <v>49</v>
      </c>
      <c r="G38" s="55" t="s">
        <v>18</v>
      </c>
      <c r="H38" s="61" t="s">
        <v>19</v>
      </c>
    </row>
    <row r="39" spans="1:8" x14ac:dyDescent="0.3">
      <c r="B39" s="51"/>
      <c r="C39" s="12"/>
      <c r="D39" s="52"/>
      <c r="E39" s="53"/>
      <c r="F39" s="15">
        <v>0</v>
      </c>
      <c r="G39" s="55"/>
      <c r="H39" s="61">
        <f>tblSalesData894850[[#This Row],[Salary or labor costs]]+tblSalesData894850[[#This Row],[Salary or labor costs]]*tblSalesData894850[[#This Row],[TAXES in %]]</f>
        <v>0</v>
      </c>
    </row>
    <row r="40" spans="1:8" x14ac:dyDescent="0.3">
      <c r="B40" s="51"/>
      <c r="C40" s="12"/>
      <c r="D40" s="52"/>
      <c r="E40" s="53"/>
      <c r="F40" s="15">
        <v>0</v>
      </c>
      <c r="G40" s="55"/>
      <c r="H40" s="61">
        <f>tblSalesData894850[[#This Row],[Salary or labor costs]]+tblSalesData894850[[#This Row],[Salary or labor costs]]*tblSalesData894850[[#This Row],[TAXES in %]]</f>
        <v>0</v>
      </c>
    </row>
    <row r="41" spans="1:8" x14ac:dyDescent="0.3">
      <c r="B41" s="51"/>
      <c r="C41" s="12"/>
      <c r="D41" s="52"/>
      <c r="E41" s="53"/>
      <c r="F41" s="15">
        <v>0</v>
      </c>
      <c r="G41" s="55"/>
      <c r="H41" s="61">
        <f>tblSalesData894850[[#This Row],[Salary or labor costs]]+tblSalesData894850[[#This Row],[Salary or labor costs]]*tblSalesData894850[[#This Row],[TAXES in %]]</f>
        <v>0</v>
      </c>
    </row>
    <row r="42" spans="1:8" x14ac:dyDescent="0.3">
      <c r="B42" s="51"/>
      <c r="C42" s="12"/>
      <c r="D42" s="52"/>
      <c r="E42" s="53"/>
      <c r="F42" s="15">
        <v>0</v>
      </c>
      <c r="G42" s="55"/>
      <c r="H42" s="61">
        <f>tblSalesData894850[[#This Row],[Salary or labor costs]]+tblSalesData894850[[#This Row],[Salary or labor costs]]*tblSalesData894850[[#This Row],[TAXES in %]]</f>
        <v>0</v>
      </c>
    </row>
    <row r="43" spans="1:8" x14ac:dyDescent="0.3">
      <c r="B43" s="12"/>
      <c r="C43" s="12"/>
      <c r="D43" s="14"/>
      <c r="E43" s="56"/>
      <c r="F43" s="15">
        <v>0</v>
      </c>
      <c r="G43" s="57">
        <v>0</v>
      </c>
      <c r="H43" s="25">
        <f>tblSalesData894850[[#This Row],[Salary or labor costs]]+tblSalesData894850[[#This Row],[Salary or labor costs]]*tblSalesData894850[[#This Row],[TAXES in %]]</f>
        <v>0</v>
      </c>
    </row>
    <row r="44" spans="1:8" x14ac:dyDescent="0.3">
      <c r="B44" s="12"/>
      <c r="C44" s="12"/>
      <c r="D44" s="14"/>
      <c r="E44" s="56"/>
      <c r="F44" s="15">
        <v>0</v>
      </c>
      <c r="G44" s="57">
        <v>0</v>
      </c>
      <c r="H44" s="25">
        <f>tblSalesData894850[[#This Row],[Salary or labor costs]]+tblSalesData894850[[#This Row],[Salary or labor costs]]*tblSalesData894850[[#This Row],[TAXES in %]]</f>
        <v>0</v>
      </c>
    </row>
    <row r="45" spans="1:8" x14ac:dyDescent="0.3">
      <c r="A45" s="121" t="s">
        <v>1</v>
      </c>
      <c r="B45" s="58"/>
      <c r="C45" s="58"/>
      <c r="D45" s="19"/>
      <c r="E45" s="59"/>
      <c r="F45" s="20">
        <f>SUBTOTAL(109,tblSalesData894850[Salary or labor costs])</f>
        <v>0</v>
      </c>
      <c r="G45" s="60">
        <f>SUBTOTAL(1,tblSalesData894850[TAXES in %])</f>
        <v>0</v>
      </c>
      <c r="H45" s="39">
        <f>SUBTOTAL(109,tblSalesData894850[Total payment])</f>
        <v>0</v>
      </c>
    </row>
    <row r="47" spans="1:8" x14ac:dyDescent="0.3">
      <c r="A47" s="120" t="s">
        <v>72</v>
      </c>
      <c r="B47" s="99"/>
      <c r="C47" s="48"/>
      <c r="D47" s="9"/>
      <c r="E47" s="49"/>
      <c r="F47" s="10"/>
      <c r="G47" s="50"/>
    </row>
    <row r="48" spans="1:8" x14ac:dyDescent="0.3">
      <c r="B48" s="51" t="s">
        <v>15</v>
      </c>
      <c r="C48" s="51" t="s">
        <v>46</v>
      </c>
      <c r="D48" s="52" t="s">
        <v>16</v>
      </c>
      <c r="E48" s="53" t="s">
        <v>17</v>
      </c>
      <c r="F48" s="54" t="s">
        <v>49</v>
      </c>
      <c r="G48" s="55" t="s">
        <v>18</v>
      </c>
      <c r="H48" s="61" t="s">
        <v>19</v>
      </c>
    </row>
    <row r="49" spans="1:8" x14ac:dyDescent="0.3">
      <c r="B49" s="51"/>
      <c r="C49" s="12"/>
      <c r="D49" s="52"/>
      <c r="E49" s="53"/>
      <c r="F49" s="15">
        <v>0</v>
      </c>
      <c r="G49" s="55"/>
      <c r="H49" s="61">
        <f>tblSalesData8951[[#This Row],[Salary or labor costs]]+tblSalesData8951[[#This Row],[Salary or labor costs]]*tblSalesData8951[[#This Row],[TAXES in %]]</f>
        <v>0</v>
      </c>
    </row>
    <row r="50" spans="1:8" x14ac:dyDescent="0.3">
      <c r="B50" s="51"/>
      <c r="C50" s="12"/>
      <c r="D50" s="52"/>
      <c r="E50" s="53"/>
      <c r="F50" s="15">
        <v>0</v>
      </c>
      <c r="G50" s="55"/>
      <c r="H50" s="61">
        <f>tblSalesData8951[[#This Row],[Salary or labor costs]]+tblSalesData8951[[#This Row],[Salary or labor costs]]*tblSalesData8951[[#This Row],[TAXES in %]]</f>
        <v>0</v>
      </c>
    </row>
    <row r="51" spans="1:8" x14ac:dyDescent="0.3">
      <c r="B51" s="51"/>
      <c r="C51" s="12"/>
      <c r="D51" s="52"/>
      <c r="E51" s="53"/>
      <c r="F51" s="15">
        <v>0</v>
      </c>
      <c r="G51" s="55"/>
      <c r="H51" s="61">
        <f>tblSalesData8951[[#This Row],[Salary or labor costs]]+tblSalesData8951[[#This Row],[Salary or labor costs]]*tblSalesData8951[[#This Row],[TAXES in %]]</f>
        <v>0</v>
      </c>
    </row>
    <row r="52" spans="1:8" x14ac:dyDescent="0.3">
      <c r="B52" s="51"/>
      <c r="C52" s="12"/>
      <c r="D52" s="52"/>
      <c r="E52" s="53"/>
      <c r="F52" s="15">
        <v>0</v>
      </c>
      <c r="G52" s="55"/>
      <c r="H52" s="61">
        <f>tblSalesData8951[[#This Row],[Salary or labor costs]]+tblSalesData8951[[#This Row],[Salary or labor costs]]*tblSalesData8951[[#This Row],[TAXES in %]]</f>
        <v>0</v>
      </c>
    </row>
    <row r="53" spans="1:8" x14ac:dyDescent="0.3">
      <c r="B53" s="12"/>
      <c r="C53" s="12"/>
      <c r="D53" s="14"/>
      <c r="E53" s="56"/>
      <c r="F53" s="15">
        <v>0</v>
      </c>
      <c r="G53" s="57">
        <v>0</v>
      </c>
      <c r="H53" s="25">
        <f>tblSalesData8951[[#This Row],[Salary or labor costs]]+tblSalesData8951[[#This Row],[Salary or labor costs]]*tblSalesData8951[[#This Row],[TAXES in %]]</f>
        <v>0</v>
      </c>
    </row>
    <row r="54" spans="1:8" x14ac:dyDescent="0.3">
      <c r="B54" s="12"/>
      <c r="C54" s="12"/>
      <c r="D54" s="14"/>
      <c r="E54" s="56"/>
      <c r="F54" s="15">
        <v>0</v>
      </c>
      <c r="G54" s="57">
        <v>0</v>
      </c>
      <c r="H54" s="25">
        <f>tblSalesData8951[[#This Row],[Salary or labor costs]]+tblSalesData8951[[#This Row],[Salary or labor costs]]*tblSalesData8951[[#This Row],[TAXES in %]]</f>
        <v>0</v>
      </c>
    </row>
    <row r="55" spans="1:8" x14ac:dyDescent="0.3">
      <c r="A55" s="121" t="s">
        <v>1</v>
      </c>
      <c r="B55" s="58"/>
      <c r="C55" s="58"/>
      <c r="D55" s="19"/>
      <c r="E55" s="59"/>
      <c r="F55" s="20">
        <f>SUBTOTAL(109,tblSalesData8951[Salary or labor costs])</f>
        <v>0</v>
      </c>
      <c r="G55" s="60">
        <f>SUBTOTAL(1,tblSalesData8951[TAXES in %])</f>
        <v>0</v>
      </c>
      <c r="H55" s="39">
        <f>SUBTOTAL(109,tblSalesData8951[Total payment])</f>
        <v>0</v>
      </c>
    </row>
    <row r="56" spans="1:8" x14ac:dyDescent="0.3">
      <c r="E56" s="44"/>
    </row>
    <row r="57" spans="1:8" x14ac:dyDescent="0.3">
      <c r="A57" s="120" t="s">
        <v>73</v>
      </c>
      <c r="B57" s="99"/>
      <c r="C57" s="48"/>
      <c r="D57" s="9"/>
      <c r="E57" s="49"/>
      <c r="F57" s="10"/>
      <c r="G57" s="50"/>
    </row>
    <row r="58" spans="1:8" x14ac:dyDescent="0.3">
      <c r="B58" s="51" t="s">
        <v>15</v>
      </c>
      <c r="C58" s="51" t="s">
        <v>46</v>
      </c>
      <c r="D58" s="52" t="s">
        <v>16</v>
      </c>
      <c r="E58" s="53" t="s">
        <v>17</v>
      </c>
      <c r="F58" s="54" t="s">
        <v>49</v>
      </c>
      <c r="G58" s="55" t="s">
        <v>18</v>
      </c>
      <c r="H58" s="61" t="s">
        <v>19</v>
      </c>
    </row>
    <row r="59" spans="1:8" x14ac:dyDescent="0.3">
      <c r="B59" s="51"/>
      <c r="C59" s="12"/>
      <c r="D59" s="52"/>
      <c r="E59" s="53"/>
      <c r="F59" s="15">
        <v>0</v>
      </c>
      <c r="G59" s="55"/>
      <c r="H59" s="61">
        <f>tblSalesData894852[[#This Row],[Salary or labor costs]]+tblSalesData894852[[#This Row],[Salary or labor costs]]*tblSalesData894852[[#This Row],[TAXES in %]]</f>
        <v>0</v>
      </c>
    </row>
    <row r="60" spans="1:8" x14ac:dyDescent="0.3">
      <c r="B60" s="51"/>
      <c r="C60" s="12"/>
      <c r="D60" s="52"/>
      <c r="E60" s="53"/>
      <c r="F60" s="15">
        <v>0</v>
      </c>
      <c r="G60" s="55"/>
      <c r="H60" s="61">
        <f>tblSalesData894852[[#This Row],[Salary or labor costs]]+tblSalesData894852[[#This Row],[Salary or labor costs]]*tblSalesData894852[[#This Row],[TAXES in %]]</f>
        <v>0</v>
      </c>
    </row>
    <row r="61" spans="1:8" x14ac:dyDescent="0.3">
      <c r="B61" s="51"/>
      <c r="C61" s="12"/>
      <c r="D61" s="52"/>
      <c r="E61" s="53"/>
      <c r="F61" s="15">
        <v>0</v>
      </c>
      <c r="G61" s="55"/>
      <c r="H61" s="61">
        <f>tblSalesData894852[[#This Row],[Salary or labor costs]]+tblSalesData894852[[#This Row],[Salary or labor costs]]*tblSalesData894852[[#This Row],[TAXES in %]]</f>
        <v>0</v>
      </c>
    </row>
    <row r="62" spans="1:8" x14ac:dyDescent="0.3">
      <c r="B62" s="51"/>
      <c r="C62" s="12"/>
      <c r="D62" s="52"/>
      <c r="E62" s="53"/>
      <c r="F62" s="15">
        <v>0</v>
      </c>
      <c r="G62" s="55"/>
      <c r="H62" s="61">
        <f>tblSalesData894852[[#This Row],[Salary or labor costs]]+tblSalesData894852[[#This Row],[Salary or labor costs]]*tblSalesData894852[[#This Row],[TAXES in %]]</f>
        <v>0</v>
      </c>
    </row>
    <row r="63" spans="1:8" x14ac:dyDescent="0.3">
      <c r="B63" s="12"/>
      <c r="C63" s="12"/>
      <c r="D63" s="14"/>
      <c r="E63" s="56"/>
      <c r="F63" s="15">
        <v>0</v>
      </c>
      <c r="G63" s="57">
        <v>0</v>
      </c>
      <c r="H63" s="25">
        <f>tblSalesData894852[[#This Row],[Salary or labor costs]]+tblSalesData894852[[#This Row],[Salary or labor costs]]*tblSalesData894852[[#This Row],[TAXES in %]]</f>
        <v>0</v>
      </c>
    </row>
    <row r="64" spans="1:8" x14ac:dyDescent="0.3">
      <c r="B64" s="12"/>
      <c r="C64" s="12"/>
      <c r="D64" s="14"/>
      <c r="E64" s="56"/>
      <c r="F64" s="15">
        <v>0</v>
      </c>
      <c r="G64" s="57">
        <v>0</v>
      </c>
      <c r="H64" s="25">
        <f>tblSalesData894852[[#This Row],[Salary or labor costs]]+tblSalesData894852[[#This Row],[Salary or labor costs]]*tblSalesData894852[[#This Row],[TAXES in %]]</f>
        <v>0</v>
      </c>
    </row>
    <row r="65" spans="1:8" x14ac:dyDescent="0.3">
      <c r="A65" s="121" t="s">
        <v>1</v>
      </c>
      <c r="B65" s="58"/>
      <c r="C65" s="58"/>
      <c r="D65" s="19"/>
      <c r="E65" s="59"/>
      <c r="F65" s="20">
        <f>SUBTOTAL(109,tblSalesData894852[Salary or labor costs])</f>
        <v>0</v>
      </c>
      <c r="G65" s="60">
        <f>SUBTOTAL(1,tblSalesData894852[TAXES in %])</f>
        <v>0</v>
      </c>
      <c r="H65" s="39">
        <f>SUBTOTAL(109,tblSalesData894852[Total payment])</f>
        <v>0</v>
      </c>
    </row>
    <row r="67" spans="1:8" x14ac:dyDescent="0.3">
      <c r="A67" s="122" t="s">
        <v>74</v>
      </c>
      <c r="B67" s="118"/>
      <c r="C67" s="119"/>
      <c r="D67" s="119"/>
      <c r="E67" s="119"/>
      <c r="F67" s="119"/>
      <c r="G67" s="119"/>
    </row>
    <row r="68" spans="1:8" x14ac:dyDescent="0.3">
      <c r="B68" s="51" t="s">
        <v>15</v>
      </c>
      <c r="C68" s="51" t="s">
        <v>46</v>
      </c>
      <c r="D68" s="52" t="s">
        <v>16</v>
      </c>
      <c r="E68" s="53" t="s">
        <v>17</v>
      </c>
      <c r="F68" s="54" t="s">
        <v>49</v>
      </c>
      <c r="G68" s="55" t="s">
        <v>18</v>
      </c>
      <c r="H68" s="61" t="s">
        <v>19</v>
      </c>
    </row>
    <row r="69" spans="1:8" x14ac:dyDescent="0.3">
      <c r="B69" s="51"/>
      <c r="C69" s="12"/>
      <c r="D69" s="52"/>
      <c r="E69" s="53"/>
      <c r="F69" s="15">
        <v>0</v>
      </c>
      <c r="G69" s="55"/>
      <c r="H69" s="61">
        <f>tblSalesData8953[[#This Row],[Salary or labor costs]]+tblSalesData8953[[#This Row],[Salary or labor costs]]*tblSalesData8953[[#This Row],[TAXES in %]]</f>
        <v>0</v>
      </c>
    </row>
    <row r="70" spans="1:8" x14ac:dyDescent="0.3">
      <c r="B70" s="51"/>
      <c r="C70" s="12"/>
      <c r="D70" s="52"/>
      <c r="E70" s="53"/>
      <c r="F70" s="15">
        <v>0</v>
      </c>
      <c r="G70" s="55"/>
      <c r="H70" s="61">
        <f>tblSalesData8953[[#This Row],[Salary or labor costs]]+tblSalesData8953[[#This Row],[Salary or labor costs]]*tblSalesData8953[[#This Row],[TAXES in %]]</f>
        <v>0</v>
      </c>
    </row>
    <row r="71" spans="1:8" x14ac:dyDescent="0.3">
      <c r="B71" s="51"/>
      <c r="C71" s="12"/>
      <c r="D71" s="52"/>
      <c r="E71" s="53"/>
      <c r="F71" s="15">
        <v>0</v>
      </c>
      <c r="G71" s="55"/>
      <c r="H71" s="61">
        <f>tblSalesData8953[[#This Row],[Salary or labor costs]]+tblSalesData8953[[#This Row],[Salary or labor costs]]*tblSalesData8953[[#This Row],[TAXES in %]]</f>
        <v>0</v>
      </c>
    </row>
    <row r="72" spans="1:8" x14ac:dyDescent="0.3">
      <c r="B72" s="51"/>
      <c r="C72" s="12"/>
      <c r="D72" s="52"/>
      <c r="E72" s="53"/>
      <c r="F72" s="15">
        <v>0</v>
      </c>
      <c r="G72" s="55"/>
      <c r="H72" s="61">
        <f>tblSalesData8953[[#This Row],[Salary or labor costs]]+tblSalesData8953[[#This Row],[Salary or labor costs]]*tblSalesData8953[[#This Row],[TAXES in %]]</f>
        <v>0</v>
      </c>
    </row>
    <row r="73" spans="1:8" x14ac:dyDescent="0.3">
      <c r="B73" s="12"/>
      <c r="C73" s="12"/>
      <c r="D73" s="14"/>
      <c r="E73" s="56"/>
      <c r="F73" s="15">
        <v>0</v>
      </c>
      <c r="G73" s="57">
        <v>0</v>
      </c>
      <c r="H73" s="25">
        <f>tblSalesData8953[[#This Row],[Salary or labor costs]]+tblSalesData8953[[#This Row],[Salary or labor costs]]*tblSalesData8953[[#This Row],[TAXES in %]]</f>
        <v>0</v>
      </c>
    </row>
    <row r="74" spans="1:8" x14ac:dyDescent="0.3">
      <c r="B74" s="12"/>
      <c r="C74" s="12"/>
      <c r="D74" s="14"/>
      <c r="E74" s="56"/>
      <c r="F74" s="15">
        <v>0</v>
      </c>
      <c r="G74" s="57">
        <v>0</v>
      </c>
      <c r="H74" s="25">
        <f>tblSalesData8953[[#This Row],[Salary or labor costs]]+tblSalesData8953[[#This Row],[Salary or labor costs]]*tblSalesData8953[[#This Row],[TAXES in %]]</f>
        <v>0</v>
      </c>
    </row>
    <row r="75" spans="1:8" x14ac:dyDescent="0.3">
      <c r="A75" s="121" t="s">
        <v>1</v>
      </c>
      <c r="B75" s="58"/>
      <c r="C75" s="58"/>
      <c r="D75" s="19"/>
      <c r="E75" s="59"/>
      <c r="F75" s="20">
        <f>SUBTOTAL(109,tblSalesData8953[Salary or labor costs])</f>
        <v>0</v>
      </c>
      <c r="G75" s="60">
        <f>SUBTOTAL(1,tblSalesData8953[TAXES in %])</f>
        <v>0</v>
      </c>
      <c r="H75" s="39">
        <f>SUBTOTAL(109,tblSalesData8953[Total payment])</f>
        <v>0</v>
      </c>
    </row>
    <row r="76" spans="1:8" x14ac:dyDescent="0.3">
      <c r="E76" s="44"/>
    </row>
    <row r="77" spans="1:8" x14ac:dyDescent="0.3">
      <c r="A77" s="120" t="s">
        <v>75</v>
      </c>
      <c r="B77" s="99"/>
      <c r="C77" s="48"/>
      <c r="D77" s="9"/>
      <c r="E77" s="49"/>
      <c r="F77" s="10"/>
      <c r="G77" s="50"/>
    </row>
    <row r="78" spans="1:8" x14ac:dyDescent="0.3">
      <c r="B78" s="51" t="s">
        <v>15</v>
      </c>
      <c r="C78" s="51" t="s">
        <v>46</v>
      </c>
      <c r="D78" s="52" t="s">
        <v>16</v>
      </c>
      <c r="E78" s="53" t="s">
        <v>17</v>
      </c>
      <c r="F78" s="54" t="s">
        <v>49</v>
      </c>
      <c r="G78" s="55" t="s">
        <v>18</v>
      </c>
      <c r="H78" s="61" t="s">
        <v>19</v>
      </c>
    </row>
    <row r="79" spans="1:8" x14ac:dyDescent="0.3">
      <c r="B79" s="51"/>
      <c r="C79" s="12"/>
      <c r="D79" s="52"/>
      <c r="E79" s="53"/>
      <c r="F79" s="15">
        <v>0</v>
      </c>
      <c r="G79" s="55"/>
      <c r="H79" s="61">
        <f>tblSalesData894854[[#This Row],[Salary or labor costs]]+tblSalesData894854[[#This Row],[Salary or labor costs]]*tblSalesData894854[[#This Row],[TAXES in %]]</f>
        <v>0</v>
      </c>
    </row>
    <row r="80" spans="1:8" x14ac:dyDescent="0.3">
      <c r="B80" s="51"/>
      <c r="C80" s="12"/>
      <c r="D80" s="52"/>
      <c r="E80" s="53"/>
      <c r="F80" s="15">
        <v>0</v>
      </c>
      <c r="G80" s="55"/>
      <c r="H80" s="61">
        <f>tblSalesData894854[[#This Row],[Salary or labor costs]]+tblSalesData894854[[#This Row],[Salary or labor costs]]*tblSalesData894854[[#This Row],[TAXES in %]]</f>
        <v>0</v>
      </c>
    </row>
    <row r="81" spans="1:8" x14ac:dyDescent="0.3">
      <c r="B81" s="51"/>
      <c r="C81" s="12"/>
      <c r="D81" s="52"/>
      <c r="E81" s="53"/>
      <c r="F81" s="15">
        <v>0</v>
      </c>
      <c r="G81" s="55"/>
      <c r="H81" s="61">
        <f>tblSalesData894854[[#This Row],[Salary or labor costs]]+tblSalesData894854[[#This Row],[Salary or labor costs]]*tblSalesData894854[[#This Row],[TAXES in %]]</f>
        <v>0</v>
      </c>
    </row>
    <row r="82" spans="1:8" x14ac:dyDescent="0.3">
      <c r="B82" s="51"/>
      <c r="C82" s="12"/>
      <c r="D82" s="52"/>
      <c r="E82" s="53"/>
      <c r="F82" s="15">
        <v>0</v>
      </c>
      <c r="G82" s="55"/>
      <c r="H82" s="61">
        <f>tblSalesData894854[[#This Row],[Salary or labor costs]]+tblSalesData894854[[#This Row],[Salary or labor costs]]*tblSalesData894854[[#This Row],[TAXES in %]]</f>
        <v>0</v>
      </c>
    </row>
    <row r="83" spans="1:8" x14ac:dyDescent="0.3">
      <c r="B83" s="12"/>
      <c r="C83" s="12"/>
      <c r="D83" s="14"/>
      <c r="E83" s="56"/>
      <c r="F83" s="15">
        <v>0</v>
      </c>
      <c r="G83" s="57">
        <v>0</v>
      </c>
      <c r="H83" s="25">
        <f>tblSalesData894854[[#This Row],[Salary or labor costs]]+tblSalesData894854[[#This Row],[Salary or labor costs]]*tblSalesData894854[[#This Row],[TAXES in %]]</f>
        <v>0</v>
      </c>
    </row>
    <row r="84" spans="1:8" x14ac:dyDescent="0.3">
      <c r="B84" s="12"/>
      <c r="C84" s="12"/>
      <c r="D84" s="14"/>
      <c r="E84" s="56"/>
      <c r="F84" s="15">
        <v>0</v>
      </c>
      <c r="G84" s="57">
        <v>0</v>
      </c>
      <c r="H84" s="25">
        <f>tblSalesData894854[[#This Row],[Salary or labor costs]]+tblSalesData894854[[#This Row],[Salary or labor costs]]*tblSalesData894854[[#This Row],[TAXES in %]]</f>
        <v>0</v>
      </c>
    </row>
    <row r="85" spans="1:8" x14ac:dyDescent="0.3">
      <c r="A85" s="121" t="s">
        <v>1</v>
      </c>
      <c r="B85" s="58"/>
      <c r="C85" s="58"/>
      <c r="D85" s="19"/>
      <c r="E85" s="59"/>
      <c r="F85" s="20">
        <f>SUBTOTAL(109,tblSalesData894854[Salary or labor costs])</f>
        <v>0</v>
      </c>
      <c r="G85" s="60">
        <f>SUBTOTAL(1,tblSalesData894854[TAXES in %])</f>
        <v>0</v>
      </c>
      <c r="H85" s="39">
        <f>SUBTOTAL(109,tblSalesData894854[Total payment])</f>
        <v>0</v>
      </c>
    </row>
    <row r="87" spans="1:8" x14ac:dyDescent="0.3">
      <c r="A87" s="120" t="s">
        <v>76</v>
      </c>
      <c r="B87" s="99"/>
      <c r="C87" s="48"/>
      <c r="D87" s="9"/>
      <c r="E87" s="49"/>
      <c r="F87" s="10"/>
      <c r="G87" s="50"/>
    </row>
    <row r="88" spans="1:8" x14ac:dyDescent="0.3">
      <c r="B88" s="51" t="s">
        <v>15</v>
      </c>
      <c r="C88" s="51" t="s">
        <v>46</v>
      </c>
      <c r="D88" s="52" t="s">
        <v>16</v>
      </c>
      <c r="E88" s="53" t="s">
        <v>17</v>
      </c>
      <c r="F88" s="54" t="s">
        <v>49</v>
      </c>
      <c r="G88" s="55" t="s">
        <v>18</v>
      </c>
      <c r="H88" s="61" t="s">
        <v>19</v>
      </c>
    </row>
    <row r="89" spans="1:8" x14ac:dyDescent="0.3">
      <c r="B89" s="51"/>
      <c r="C89" s="12"/>
      <c r="D89" s="52"/>
      <c r="E89" s="53"/>
      <c r="F89" s="15">
        <v>0</v>
      </c>
      <c r="G89" s="55"/>
      <c r="H89" s="61">
        <f>tblSalesData894955[[#This Row],[Salary or labor costs]]+tblSalesData894955[[#This Row],[Salary or labor costs]]*tblSalesData894955[[#This Row],[TAXES in %]]</f>
        <v>0</v>
      </c>
    </row>
    <row r="90" spans="1:8" x14ac:dyDescent="0.3">
      <c r="B90" s="51"/>
      <c r="C90" s="12"/>
      <c r="D90" s="52"/>
      <c r="E90" s="53"/>
      <c r="F90" s="15">
        <v>0</v>
      </c>
      <c r="G90" s="55"/>
      <c r="H90" s="61">
        <f>tblSalesData894955[[#This Row],[Salary or labor costs]]+tblSalesData894955[[#This Row],[Salary or labor costs]]*tblSalesData894955[[#This Row],[TAXES in %]]</f>
        <v>0</v>
      </c>
    </row>
    <row r="91" spans="1:8" x14ac:dyDescent="0.3">
      <c r="B91" s="51"/>
      <c r="C91" s="12"/>
      <c r="D91" s="52"/>
      <c r="E91" s="53"/>
      <c r="F91" s="15">
        <v>0</v>
      </c>
      <c r="G91" s="55"/>
      <c r="H91" s="61">
        <f>tblSalesData894955[[#This Row],[Salary or labor costs]]+tblSalesData894955[[#This Row],[Salary or labor costs]]*tblSalesData894955[[#This Row],[TAXES in %]]</f>
        <v>0</v>
      </c>
    </row>
    <row r="92" spans="1:8" x14ac:dyDescent="0.3">
      <c r="B92" s="51"/>
      <c r="C92" s="12"/>
      <c r="D92" s="52"/>
      <c r="E92" s="53"/>
      <c r="F92" s="15">
        <v>0</v>
      </c>
      <c r="G92" s="55"/>
      <c r="H92" s="61">
        <f>tblSalesData894955[[#This Row],[Salary or labor costs]]+tblSalesData894955[[#This Row],[Salary or labor costs]]*tblSalesData894955[[#This Row],[TAXES in %]]</f>
        <v>0</v>
      </c>
    </row>
    <row r="93" spans="1:8" x14ac:dyDescent="0.3">
      <c r="B93" s="12"/>
      <c r="C93" s="12"/>
      <c r="D93" s="14"/>
      <c r="E93" s="56"/>
      <c r="F93" s="15">
        <v>0</v>
      </c>
      <c r="G93" s="57">
        <v>0</v>
      </c>
      <c r="H93" s="25">
        <f>tblSalesData894955[[#This Row],[Salary or labor costs]]+tblSalesData894955[[#This Row],[Salary or labor costs]]*tblSalesData894955[[#This Row],[TAXES in %]]</f>
        <v>0</v>
      </c>
    </row>
    <row r="94" spans="1:8" x14ac:dyDescent="0.3">
      <c r="B94" s="12"/>
      <c r="C94" s="12"/>
      <c r="D94" s="14"/>
      <c r="E94" s="56"/>
      <c r="F94" s="15">
        <v>0</v>
      </c>
      <c r="G94" s="57">
        <v>0</v>
      </c>
      <c r="H94" s="25">
        <f>tblSalesData894955[[#This Row],[Salary or labor costs]]+tblSalesData894955[[#This Row],[Salary or labor costs]]*tblSalesData894955[[#This Row],[TAXES in %]]</f>
        <v>0</v>
      </c>
    </row>
    <row r="95" spans="1:8" x14ac:dyDescent="0.3">
      <c r="A95" s="121" t="s">
        <v>1</v>
      </c>
      <c r="B95" s="58"/>
      <c r="C95" s="58"/>
      <c r="D95" s="19"/>
      <c r="E95" s="59"/>
      <c r="F95" s="20">
        <f>SUBTOTAL(109,tblSalesData894955[Salary or labor costs])</f>
        <v>0</v>
      </c>
      <c r="G95" s="60">
        <f>SUBTOTAL(1,tblSalesData894955[TAXES in %])</f>
        <v>0</v>
      </c>
      <c r="H95" s="39">
        <f>SUBTOTAL(109,tblSalesData894955[Total payment])</f>
        <v>0</v>
      </c>
    </row>
    <row r="96" spans="1:8" x14ac:dyDescent="0.3">
      <c r="E96" s="44"/>
    </row>
    <row r="97" spans="1:8" x14ac:dyDescent="0.3">
      <c r="A97" s="120" t="s">
        <v>77</v>
      </c>
      <c r="B97" s="99"/>
      <c r="C97" s="48"/>
      <c r="D97" s="9"/>
      <c r="E97" s="49"/>
      <c r="F97" s="10"/>
      <c r="G97" s="50"/>
    </row>
    <row r="98" spans="1:8" x14ac:dyDescent="0.3">
      <c r="B98" s="51" t="s">
        <v>15</v>
      </c>
      <c r="C98" s="51" t="s">
        <v>46</v>
      </c>
      <c r="D98" s="52" t="s">
        <v>16</v>
      </c>
      <c r="E98" s="53" t="s">
        <v>17</v>
      </c>
      <c r="F98" s="54" t="s">
        <v>49</v>
      </c>
      <c r="G98" s="55" t="s">
        <v>18</v>
      </c>
      <c r="H98" s="61" t="s">
        <v>19</v>
      </c>
    </row>
    <row r="99" spans="1:8" x14ac:dyDescent="0.3">
      <c r="B99" s="51"/>
      <c r="C99" s="12"/>
      <c r="D99" s="52"/>
      <c r="E99" s="53"/>
      <c r="F99" s="15">
        <v>0</v>
      </c>
      <c r="G99" s="55"/>
      <c r="H99" s="61">
        <f>tblSalesData89485056[[#This Row],[Salary or labor costs]]+tblSalesData89485056[[#This Row],[Salary or labor costs]]*tblSalesData89485056[[#This Row],[TAXES in %]]</f>
        <v>0</v>
      </c>
    </row>
    <row r="100" spans="1:8" x14ac:dyDescent="0.3">
      <c r="B100" s="51"/>
      <c r="C100" s="12"/>
      <c r="D100" s="52"/>
      <c r="E100" s="53"/>
      <c r="F100" s="15">
        <v>0</v>
      </c>
      <c r="G100" s="55"/>
      <c r="H100" s="61">
        <f>tblSalesData89485056[[#This Row],[Salary or labor costs]]+tblSalesData89485056[[#This Row],[Salary or labor costs]]*tblSalesData89485056[[#This Row],[TAXES in %]]</f>
        <v>0</v>
      </c>
    </row>
    <row r="101" spans="1:8" x14ac:dyDescent="0.3">
      <c r="B101" s="51"/>
      <c r="C101" s="12"/>
      <c r="D101" s="52"/>
      <c r="E101" s="53"/>
      <c r="F101" s="15">
        <v>0</v>
      </c>
      <c r="G101" s="55"/>
      <c r="H101" s="61">
        <f>tblSalesData89485056[[#This Row],[Salary or labor costs]]+tblSalesData89485056[[#This Row],[Salary or labor costs]]*tblSalesData89485056[[#This Row],[TAXES in %]]</f>
        <v>0</v>
      </c>
    </row>
    <row r="102" spans="1:8" x14ac:dyDescent="0.3">
      <c r="B102" s="51"/>
      <c r="C102" s="12"/>
      <c r="D102" s="52"/>
      <c r="E102" s="53"/>
      <c r="F102" s="15">
        <v>0</v>
      </c>
      <c r="G102" s="55"/>
      <c r="H102" s="61">
        <f>tblSalesData89485056[[#This Row],[Salary or labor costs]]+tblSalesData89485056[[#This Row],[Salary or labor costs]]*tblSalesData89485056[[#This Row],[TAXES in %]]</f>
        <v>0</v>
      </c>
    </row>
    <row r="103" spans="1:8" x14ac:dyDescent="0.3">
      <c r="B103" s="12"/>
      <c r="C103" s="12"/>
      <c r="D103" s="14"/>
      <c r="E103" s="56"/>
      <c r="F103" s="15">
        <v>0</v>
      </c>
      <c r="G103" s="57">
        <v>0</v>
      </c>
      <c r="H103" s="25">
        <f>tblSalesData89485056[[#This Row],[Salary or labor costs]]+tblSalesData89485056[[#This Row],[Salary or labor costs]]*tblSalesData89485056[[#This Row],[TAXES in %]]</f>
        <v>0</v>
      </c>
    </row>
    <row r="104" spans="1:8" x14ac:dyDescent="0.3">
      <c r="B104" s="12"/>
      <c r="C104" s="12"/>
      <c r="D104" s="14"/>
      <c r="E104" s="56"/>
      <c r="F104" s="15">
        <v>0</v>
      </c>
      <c r="G104" s="57">
        <v>0</v>
      </c>
      <c r="H104" s="25">
        <f>tblSalesData89485056[[#This Row],[Salary or labor costs]]+tblSalesData89485056[[#This Row],[Salary or labor costs]]*tblSalesData89485056[[#This Row],[TAXES in %]]</f>
        <v>0</v>
      </c>
    </row>
    <row r="105" spans="1:8" x14ac:dyDescent="0.3">
      <c r="A105" s="121" t="s">
        <v>1</v>
      </c>
      <c r="B105" s="58"/>
      <c r="C105" s="58"/>
      <c r="D105" s="19"/>
      <c r="E105" s="59"/>
      <c r="F105" s="20">
        <f>SUBTOTAL(109,tblSalesData89485056[Salary or labor costs])</f>
        <v>0</v>
      </c>
      <c r="G105" s="60">
        <f>SUBTOTAL(1,tblSalesData89485056[TAXES in %])</f>
        <v>0</v>
      </c>
      <c r="H105" s="39">
        <f>SUBTOTAL(109,tblSalesData89485056[Total payment])</f>
        <v>0</v>
      </c>
    </row>
    <row r="107" spans="1:8" x14ac:dyDescent="0.3">
      <c r="A107" s="120" t="s">
        <v>78</v>
      </c>
      <c r="B107" s="99"/>
      <c r="C107" s="48"/>
      <c r="D107" s="9"/>
      <c r="E107" s="49"/>
      <c r="F107" s="10"/>
      <c r="G107" s="50"/>
    </row>
    <row r="108" spans="1:8" x14ac:dyDescent="0.3">
      <c r="B108" s="51" t="s">
        <v>15</v>
      </c>
      <c r="C108" s="51" t="s">
        <v>46</v>
      </c>
      <c r="D108" s="52" t="s">
        <v>16</v>
      </c>
      <c r="E108" s="53" t="s">
        <v>17</v>
      </c>
      <c r="F108" s="54" t="s">
        <v>49</v>
      </c>
      <c r="G108" s="55" t="s">
        <v>18</v>
      </c>
      <c r="H108" s="61" t="s">
        <v>19</v>
      </c>
    </row>
    <row r="109" spans="1:8" x14ac:dyDescent="0.3">
      <c r="B109" s="51"/>
      <c r="C109" s="12"/>
      <c r="D109" s="52"/>
      <c r="E109" s="53"/>
      <c r="F109" s="15">
        <v>0</v>
      </c>
      <c r="G109" s="55"/>
      <c r="H109" s="61">
        <f>tblSalesData895157[[#This Row],[Salary or labor costs]]+tblSalesData895157[[#This Row],[Salary or labor costs]]*tblSalesData895157[[#This Row],[TAXES in %]]</f>
        <v>0</v>
      </c>
    </row>
    <row r="110" spans="1:8" x14ac:dyDescent="0.3">
      <c r="B110" s="51"/>
      <c r="C110" s="12"/>
      <c r="D110" s="52"/>
      <c r="E110" s="53"/>
      <c r="F110" s="15">
        <v>0</v>
      </c>
      <c r="G110" s="55"/>
      <c r="H110" s="61">
        <f>tblSalesData895157[[#This Row],[Salary or labor costs]]+tblSalesData895157[[#This Row],[Salary or labor costs]]*tblSalesData895157[[#This Row],[TAXES in %]]</f>
        <v>0</v>
      </c>
    </row>
    <row r="111" spans="1:8" x14ac:dyDescent="0.3">
      <c r="B111" s="51"/>
      <c r="C111" s="12"/>
      <c r="D111" s="52"/>
      <c r="E111" s="53"/>
      <c r="F111" s="15">
        <v>0</v>
      </c>
      <c r="G111" s="55"/>
      <c r="H111" s="61">
        <f>tblSalesData895157[[#This Row],[Salary or labor costs]]+tblSalesData895157[[#This Row],[Salary or labor costs]]*tblSalesData895157[[#This Row],[TAXES in %]]</f>
        <v>0</v>
      </c>
    </row>
    <row r="112" spans="1:8" x14ac:dyDescent="0.3">
      <c r="B112" s="51"/>
      <c r="C112" s="12"/>
      <c r="D112" s="52"/>
      <c r="E112" s="53"/>
      <c r="F112" s="15">
        <v>0</v>
      </c>
      <c r="G112" s="55"/>
      <c r="H112" s="61">
        <f>tblSalesData895157[[#This Row],[Salary or labor costs]]+tblSalesData895157[[#This Row],[Salary or labor costs]]*tblSalesData895157[[#This Row],[TAXES in %]]</f>
        <v>0</v>
      </c>
    </row>
    <row r="113" spans="1:8" x14ac:dyDescent="0.3">
      <c r="B113" s="12"/>
      <c r="C113" s="12"/>
      <c r="D113" s="14"/>
      <c r="E113" s="56"/>
      <c r="F113" s="15">
        <v>0</v>
      </c>
      <c r="G113" s="57">
        <v>0</v>
      </c>
      <c r="H113" s="25">
        <f>tblSalesData895157[[#This Row],[Salary or labor costs]]+tblSalesData895157[[#This Row],[Salary or labor costs]]*tblSalesData895157[[#This Row],[TAXES in %]]</f>
        <v>0</v>
      </c>
    </row>
    <row r="114" spans="1:8" x14ac:dyDescent="0.3">
      <c r="B114" s="12"/>
      <c r="C114" s="12"/>
      <c r="D114" s="14"/>
      <c r="E114" s="56"/>
      <c r="F114" s="15">
        <v>0</v>
      </c>
      <c r="G114" s="57">
        <v>0</v>
      </c>
      <c r="H114" s="25">
        <f>tblSalesData895157[[#This Row],[Salary or labor costs]]+tblSalesData895157[[#This Row],[Salary or labor costs]]*tblSalesData895157[[#This Row],[TAXES in %]]</f>
        <v>0</v>
      </c>
    </row>
    <row r="115" spans="1:8" x14ac:dyDescent="0.3">
      <c r="A115" s="121" t="s">
        <v>1</v>
      </c>
      <c r="B115" s="58"/>
      <c r="C115" s="58"/>
      <c r="D115" s="19"/>
      <c r="E115" s="59"/>
      <c r="F115" s="20">
        <f>SUBTOTAL(109,tblSalesData895157[Salary or labor costs])</f>
        <v>0</v>
      </c>
      <c r="G115" s="60">
        <f>SUBTOTAL(1,tblSalesData895157[TAXES in %])</f>
        <v>0</v>
      </c>
      <c r="H115" s="39">
        <f>SUBTOTAL(109,tblSalesData895157[Total payment])</f>
        <v>0</v>
      </c>
    </row>
    <row r="116" spans="1:8" x14ac:dyDescent="0.3">
      <c r="E116" s="44"/>
    </row>
    <row r="117" spans="1:8" x14ac:dyDescent="0.3">
      <c r="A117" s="120" t="s">
        <v>79</v>
      </c>
      <c r="B117" s="99"/>
      <c r="C117" s="48"/>
      <c r="D117" s="9"/>
      <c r="E117" s="49"/>
      <c r="F117" s="10"/>
      <c r="G117" s="50"/>
    </row>
    <row r="118" spans="1:8" x14ac:dyDescent="0.3">
      <c r="B118" s="51" t="s">
        <v>15</v>
      </c>
      <c r="C118" s="51" t="s">
        <v>46</v>
      </c>
      <c r="D118" s="52" t="s">
        <v>16</v>
      </c>
      <c r="E118" s="53" t="s">
        <v>17</v>
      </c>
      <c r="F118" s="54" t="s">
        <v>49</v>
      </c>
      <c r="G118" s="55" t="s">
        <v>18</v>
      </c>
      <c r="H118" s="61" t="s">
        <v>19</v>
      </c>
    </row>
    <row r="119" spans="1:8" x14ac:dyDescent="0.3">
      <c r="B119" s="51"/>
      <c r="C119" s="12"/>
      <c r="D119" s="52"/>
      <c r="E119" s="53"/>
      <c r="F119" s="15">
        <v>0</v>
      </c>
      <c r="G119" s="55"/>
      <c r="H119" s="61">
        <f>tblSalesData89485258[[#This Row],[Salary or labor costs]]+tblSalesData89485258[[#This Row],[Salary or labor costs]]*tblSalesData89485258[[#This Row],[TAXES in %]]</f>
        <v>0</v>
      </c>
    </row>
    <row r="120" spans="1:8" x14ac:dyDescent="0.3">
      <c r="B120" s="51"/>
      <c r="C120" s="12"/>
      <c r="D120" s="52"/>
      <c r="E120" s="53"/>
      <c r="F120" s="15">
        <v>0</v>
      </c>
      <c r="G120" s="55"/>
      <c r="H120" s="61">
        <f>tblSalesData89485258[[#This Row],[Salary or labor costs]]+tblSalesData89485258[[#This Row],[Salary or labor costs]]*tblSalesData89485258[[#This Row],[TAXES in %]]</f>
        <v>0</v>
      </c>
    </row>
    <row r="121" spans="1:8" x14ac:dyDescent="0.3">
      <c r="B121" s="51"/>
      <c r="C121" s="12"/>
      <c r="D121" s="52"/>
      <c r="E121" s="53"/>
      <c r="F121" s="15">
        <v>0</v>
      </c>
      <c r="G121" s="55"/>
      <c r="H121" s="61">
        <f>tblSalesData89485258[[#This Row],[Salary or labor costs]]+tblSalesData89485258[[#This Row],[Salary or labor costs]]*tblSalesData89485258[[#This Row],[TAXES in %]]</f>
        <v>0</v>
      </c>
    </row>
    <row r="122" spans="1:8" x14ac:dyDescent="0.3">
      <c r="B122" s="51"/>
      <c r="C122" s="12"/>
      <c r="D122" s="52"/>
      <c r="E122" s="53"/>
      <c r="F122" s="15">
        <v>0</v>
      </c>
      <c r="G122" s="55"/>
      <c r="H122" s="61">
        <f>tblSalesData89485258[[#This Row],[Salary or labor costs]]+tblSalesData89485258[[#This Row],[Salary or labor costs]]*tblSalesData89485258[[#This Row],[TAXES in %]]</f>
        <v>0</v>
      </c>
    </row>
    <row r="123" spans="1:8" x14ac:dyDescent="0.3">
      <c r="B123" s="12"/>
      <c r="C123" s="12"/>
      <c r="D123" s="14"/>
      <c r="E123" s="56"/>
      <c r="F123" s="15">
        <v>0</v>
      </c>
      <c r="G123" s="57">
        <v>0</v>
      </c>
      <c r="H123" s="25">
        <f>tblSalesData89485258[[#This Row],[Salary or labor costs]]+tblSalesData89485258[[#This Row],[Salary or labor costs]]*tblSalesData89485258[[#This Row],[TAXES in %]]</f>
        <v>0</v>
      </c>
    </row>
    <row r="124" spans="1:8" x14ac:dyDescent="0.3">
      <c r="B124" s="12"/>
      <c r="C124" s="12"/>
      <c r="D124" s="14"/>
      <c r="E124" s="56"/>
      <c r="F124" s="15">
        <v>0</v>
      </c>
      <c r="G124" s="57">
        <v>0</v>
      </c>
      <c r="H124" s="25">
        <f>tblSalesData89485258[[#This Row],[Salary or labor costs]]+tblSalesData89485258[[#This Row],[Salary or labor costs]]*tblSalesData89485258[[#This Row],[TAXES in %]]</f>
        <v>0</v>
      </c>
    </row>
    <row r="125" spans="1:8" x14ac:dyDescent="0.3">
      <c r="A125" s="121" t="s">
        <v>1</v>
      </c>
      <c r="B125" s="58"/>
      <c r="C125" s="58"/>
      <c r="D125" s="19"/>
      <c r="E125" s="59"/>
      <c r="F125" s="20">
        <f>SUBTOTAL(109,tblSalesData89485258[Salary or labor costs])</f>
        <v>0</v>
      </c>
      <c r="G125" s="60">
        <f>SUBTOTAL(1,tblSalesData89485258[TAXES in %])</f>
        <v>0</v>
      </c>
      <c r="H125" s="39">
        <f>SUBTOTAL(109,tblSalesData89485258[Total payment])</f>
        <v>0</v>
      </c>
    </row>
  </sheetData>
  <sheetProtection sort="0"/>
  <dataValidations count="1">
    <dataValidation type="list" errorStyle="warning" allowBlank="1" showInputMessage="1" showErrorMessage="1" errorTitle="Whoops!" error="These numbers are from a list on the Inventory sheet.  To add it to the drop down list, click Cancel, go to the Inventory sheet and add it to the list." sqref="F19:F24 F29:F34 F9:F14 F39:F44 F49:F54 F59:F64 F69:F74 F79:F84 F89:F94 F99:F104 F109:F114 F119:F124">
      <formula1>PN</formula1>
    </dataValidation>
  </dataValidations>
  <pageMargins left="0.7" right="0.7" top="0.75" bottom="0.75" header="0.3" footer="0.3"/>
  <pageSetup paperSize="9" orientation="portrait" r:id="rId1"/>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21"/>
  <sheetViews>
    <sheetView zoomScale="90" zoomScaleNormal="90" workbookViewId="0">
      <selection activeCell="H22" sqref="H22"/>
    </sheetView>
  </sheetViews>
  <sheetFormatPr defaultColWidth="9.140625" defaultRowHeight="15" x14ac:dyDescent="0.3"/>
  <cols>
    <col min="1" max="1" width="9.140625" style="3"/>
    <col min="2" max="2" width="30.85546875" style="3" customWidth="1"/>
    <col min="3" max="3" width="12.28515625" style="3" customWidth="1"/>
    <col min="4" max="4" width="10.140625" style="3" customWidth="1"/>
    <col min="5" max="5" width="24.140625" style="3" customWidth="1"/>
    <col min="6" max="6" width="12.5703125" style="104" customWidth="1"/>
    <col min="7" max="7" width="15.42578125" style="5" customWidth="1"/>
    <col min="8" max="8" width="15.42578125" style="6" customWidth="1"/>
    <col min="9" max="9" width="21.42578125" style="5" customWidth="1"/>
    <col min="10" max="16384" width="9.140625" style="3"/>
  </cols>
  <sheetData>
    <row r="1" spans="2:18" ht="36" x14ac:dyDescent="0.3">
      <c r="B1" s="79" t="s">
        <v>88</v>
      </c>
      <c r="C1" s="65"/>
      <c r="D1" s="66"/>
      <c r="E1" s="67"/>
      <c r="F1" s="100"/>
      <c r="G1" s="67"/>
      <c r="H1" s="80"/>
      <c r="I1" s="67"/>
      <c r="J1" s="81"/>
      <c r="K1" s="81"/>
      <c r="L1" s="81"/>
      <c r="M1" s="81"/>
      <c r="N1" s="81"/>
      <c r="O1" s="81"/>
      <c r="P1" s="81"/>
      <c r="Q1" s="81"/>
      <c r="R1" s="81"/>
    </row>
    <row r="2" spans="2:18" ht="36" x14ac:dyDescent="0.3">
      <c r="B2" s="79" t="s">
        <v>87</v>
      </c>
      <c r="C2" s="65"/>
      <c r="D2" s="66"/>
      <c r="E2" s="67"/>
      <c r="F2" s="100"/>
      <c r="G2" s="67"/>
      <c r="H2" s="80"/>
      <c r="I2" s="67"/>
      <c r="J2" s="81"/>
      <c r="K2" s="81"/>
      <c r="L2" s="81"/>
      <c r="M2" s="81"/>
      <c r="N2" s="81"/>
      <c r="O2" s="81"/>
      <c r="P2" s="81"/>
      <c r="Q2" s="81"/>
      <c r="R2" s="81"/>
    </row>
    <row r="3" spans="2:18" x14ac:dyDescent="0.3">
      <c r="B3" s="82"/>
      <c r="C3" s="65"/>
      <c r="D3" s="66"/>
      <c r="E3" s="67"/>
      <c r="F3" s="100"/>
      <c r="G3" s="67"/>
      <c r="H3" s="80"/>
      <c r="I3" s="67"/>
      <c r="J3" s="81"/>
      <c r="K3" s="81"/>
      <c r="L3" s="81"/>
      <c r="M3" s="81"/>
      <c r="N3" s="81"/>
      <c r="O3" s="81"/>
      <c r="P3" s="81"/>
      <c r="Q3" s="81"/>
      <c r="R3" s="81"/>
    </row>
    <row r="4" spans="2:18" x14ac:dyDescent="0.3">
      <c r="B4" s="82"/>
      <c r="C4" s="65"/>
      <c r="D4" s="66"/>
      <c r="E4" s="67"/>
      <c r="F4" s="100"/>
      <c r="G4" s="67"/>
      <c r="H4" s="80"/>
      <c r="I4" s="67"/>
      <c r="J4" s="81"/>
      <c r="K4" s="81"/>
      <c r="L4" s="81"/>
      <c r="M4" s="81"/>
      <c r="N4" s="81"/>
      <c r="O4" s="81"/>
      <c r="P4" s="81"/>
      <c r="Q4" s="81"/>
      <c r="R4" s="81"/>
    </row>
    <row r="5" spans="2:18" x14ac:dyDescent="0.3">
      <c r="B5" s="83"/>
      <c r="C5" s="71"/>
      <c r="D5" s="72"/>
      <c r="E5" s="73"/>
      <c r="F5" s="101"/>
      <c r="G5" s="73"/>
      <c r="H5" s="84"/>
      <c r="I5" s="73"/>
      <c r="J5" s="81"/>
      <c r="K5" s="81"/>
      <c r="L5" s="81"/>
      <c r="M5" s="81"/>
      <c r="N5" s="81"/>
      <c r="O5" s="81"/>
      <c r="P5" s="81"/>
      <c r="Q5" s="81"/>
      <c r="R5" s="81"/>
    </row>
    <row r="6" spans="2:18" x14ac:dyDescent="0.3">
      <c r="B6" s="83"/>
      <c r="C6" s="71"/>
      <c r="D6" s="72"/>
      <c r="E6" s="73"/>
      <c r="F6" s="101"/>
      <c r="G6" s="73"/>
      <c r="H6" s="84"/>
      <c r="I6" s="73"/>
      <c r="J6" s="81"/>
      <c r="K6" s="81"/>
      <c r="L6" s="81"/>
      <c r="M6" s="81"/>
      <c r="N6" s="81"/>
      <c r="O6" s="81"/>
      <c r="P6" s="81"/>
      <c r="Q6" s="81"/>
      <c r="R6" s="81"/>
    </row>
    <row r="7" spans="2:18" x14ac:dyDescent="0.3">
      <c r="B7" s="85" t="s">
        <v>15</v>
      </c>
      <c r="C7" s="86" t="s">
        <v>24</v>
      </c>
      <c r="D7" s="87" t="s">
        <v>46</v>
      </c>
      <c r="E7" s="88" t="s">
        <v>138</v>
      </c>
      <c r="F7" s="102" t="s">
        <v>26</v>
      </c>
      <c r="G7" s="89" t="s">
        <v>9</v>
      </c>
      <c r="H7" s="90" t="s">
        <v>25</v>
      </c>
      <c r="I7" s="91" t="s">
        <v>51</v>
      </c>
      <c r="J7" s="81"/>
      <c r="K7" s="81"/>
      <c r="L7" s="81"/>
      <c r="M7" s="81"/>
      <c r="N7" s="81"/>
      <c r="O7" s="81"/>
      <c r="P7" s="81"/>
      <c r="Q7" s="81"/>
      <c r="R7" s="81"/>
    </row>
    <row r="8" spans="2:18" x14ac:dyDescent="0.3">
      <c r="B8" s="12" t="s">
        <v>136</v>
      </c>
      <c r="C8" s="14" t="s">
        <v>137</v>
      </c>
      <c r="D8" s="56"/>
      <c r="E8" s="15">
        <v>500000</v>
      </c>
      <c r="F8" s="103">
        <v>0.08</v>
      </c>
      <c r="G8" s="15">
        <f>tblSalesData893[[#This Row],[Amount of loan]]+(tblSalesData893[[#This Row],[Amount of loan]]*tblSalesData893[[#This Row],[Interest]])</f>
        <v>540000</v>
      </c>
      <c r="H8" s="78">
        <f>tblSalesData893[[#This Row],[Total]]-tblSalesData893[[#This Row],[Monthly payment]]</f>
        <v>531000</v>
      </c>
      <c r="I8" s="92">
        <f>tblSalesData893[[#This Row],[Total]]/5/12</f>
        <v>9000</v>
      </c>
    </row>
    <row r="9" spans="2:18" x14ac:dyDescent="0.3">
      <c r="B9" s="12" t="s">
        <v>136</v>
      </c>
      <c r="C9" s="14" t="s">
        <v>137</v>
      </c>
      <c r="D9" s="56"/>
      <c r="E9" s="15">
        <f>H8</f>
        <v>531000</v>
      </c>
      <c r="F9" s="103"/>
      <c r="G9" s="15">
        <f>tblSalesData893[[#This Row],[Amount of loan]]+(tblSalesData893[[#This Row],[Amount of loan]]*tblSalesData893[[#This Row],[Interest]])</f>
        <v>531000</v>
      </c>
      <c r="H9" s="78">
        <f>tblSalesData893[[#This Row],[Total]]-tblSalesData893[[#This Row],[Monthly payment]]</f>
        <v>522150</v>
      </c>
      <c r="I9" s="92">
        <f>tblSalesData893[[#This Row],[Total]]/5/12</f>
        <v>8850</v>
      </c>
    </row>
    <row r="10" spans="2:18" x14ac:dyDescent="0.3">
      <c r="B10" s="12"/>
      <c r="C10" s="14"/>
      <c r="D10" s="56"/>
      <c r="E10" s="15">
        <f>H9</f>
        <v>522150</v>
      </c>
      <c r="F10" s="103"/>
      <c r="G10" s="15">
        <f>tblSalesData893[[#This Row],[Amount of loan]]+(tblSalesData893[[#This Row],[Amount of loan]]*tblSalesData893[[#This Row],[Interest]])</f>
        <v>522150</v>
      </c>
      <c r="H10" s="78">
        <f>tblSalesData893[[#This Row],[Total]]-tblSalesData893[[#This Row],[Monthly payment]]</f>
        <v>513447.5</v>
      </c>
      <c r="I10" s="92">
        <f>tblSalesData893[[#This Row],[Total]]/5/12</f>
        <v>8702.5</v>
      </c>
    </row>
    <row r="11" spans="2:18" x14ac:dyDescent="0.3">
      <c r="B11" s="12"/>
      <c r="C11" s="14"/>
      <c r="D11" s="56"/>
      <c r="E11" s="15">
        <f>H10</f>
        <v>513447.5</v>
      </c>
      <c r="F11" s="103"/>
      <c r="G11" s="15">
        <f>tblSalesData893[[#This Row],[Amount of loan]]+(tblSalesData893[[#This Row],[Amount of loan]]*tblSalesData893[[#This Row],[Interest]])</f>
        <v>513447.5</v>
      </c>
      <c r="H11" s="78">
        <f>tblSalesData893[[#This Row],[Total]]-tblSalesData893[[#This Row],[Monthly payment]]</f>
        <v>504890.04166666669</v>
      </c>
      <c r="I11" s="92">
        <f>tblSalesData893[[#This Row],[Total]]/5/12</f>
        <v>8557.4583333333339</v>
      </c>
    </row>
    <row r="12" spans="2:18" x14ac:dyDescent="0.3">
      <c r="B12" s="12"/>
      <c r="C12" s="14"/>
      <c r="D12" s="56"/>
      <c r="E12" s="15">
        <f>H11</f>
        <v>504890.04166666669</v>
      </c>
      <c r="F12" s="103"/>
      <c r="G12" s="15">
        <f>tblSalesData893[[#This Row],[Amount of loan]]+(tblSalesData893[[#This Row],[Amount of loan]]*tblSalesData893[[#This Row],[Interest]])</f>
        <v>504890.04166666669</v>
      </c>
      <c r="H12" s="78">
        <f>tblSalesData893[[#This Row],[Total]]-tblSalesData893[[#This Row],[Monthly payment]]</f>
        <v>496475.20763888891</v>
      </c>
      <c r="I12" s="92">
        <f>tblSalesData893[[#This Row],[Total]]/5/12</f>
        <v>8414.834027777777</v>
      </c>
    </row>
    <row r="13" spans="2:18" x14ac:dyDescent="0.3">
      <c r="B13" s="12"/>
      <c r="C13" s="14"/>
      <c r="D13" s="56"/>
      <c r="E13" s="15">
        <f>H12</f>
        <v>496475.20763888891</v>
      </c>
      <c r="F13" s="103"/>
      <c r="G13" s="15">
        <f>tblSalesData893[[#This Row],[Amount of loan]]+(tblSalesData893[[#This Row],[Amount of loan]]*tblSalesData893[[#This Row],[Interest]])</f>
        <v>496475.20763888891</v>
      </c>
      <c r="H13" s="78">
        <f>tblSalesData893[[#This Row],[Total]]-tblSalesData893[[#This Row],[Monthly payment]]</f>
        <v>488200.62084490742</v>
      </c>
      <c r="I13" s="92">
        <f>tblSalesData893[[#This Row],[Total]]/5/12</f>
        <v>8274.5867939814816</v>
      </c>
    </row>
    <row r="14" spans="2:18" x14ac:dyDescent="0.3">
      <c r="B14" s="12"/>
      <c r="C14" s="14"/>
      <c r="D14" s="56"/>
      <c r="E14" s="15">
        <f>H13</f>
        <v>488200.62084490742</v>
      </c>
      <c r="F14" s="103"/>
      <c r="G14" s="15">
        <f>tblSalesData893[[#This Row],[Amount of loan]]+(tblSalesData893[[#This Row],[Amount of loan]]*tblSalesData893[[#This Row],[Interest]])</f>
        <v>488200.62084490742</v>
      </c>
      <c r="H14" s="78">
        <f>tblSalesData893[[#This Row],[Total]]-tblSalesData893[[#This Row],[Monthly payment]]</f>
        <v>480063.94383082562</v>
      </c>
      <c r="I14" s="92">
        <f>tblSalesData893[[#This Row],[Total]]/5/12</f>
        <v>8136.6770140817898</v>
      </c>
    </row>
    <row r="15" spans="2:18" x14ac:dyDescent="0.3">
      <c r="B15" s="12"/>
      <c r="C15" s="14"/>
      <c r="D15" s="56"/>
      <c r="E15" s="15">
        <f>H14</f>
        <v>480063.94383082562</v>
      </c>
      <c r="F15" s="103"/>
      <c r="G15" s="15">
        <f>tblSalesData893[[#This Row],[Amount of loan]]+(tblSalesData893[[#This Row],[Amount of loan]]*tblSalesData893[[#This Row],[Interest]])</f>
        <v>480063.94383082562</v>
      </c>
      <c r="H15" s="78">
        <f>tblSalesData893[[#This Row],[Total]]-tblSalesData893[[#This Row],[Monthly payment]]</f>
        <v>472062.87810031185</v>
      </c>
      <c r="I15" s="92">
        <f>tblSalesData893[[#This Row],[Total]]/5/12</f>
        <v>8001.0657305137602</v>
      </c>
    </row>
    <row r="16" spans="2:18" x14ac:dyDescent="0.3">
      <c r="B16" s="12"/>
      <c r="C16" s="14"/>
      <c r="D16" s="56"/>
      <c r="E16" s="15">
        <f>H15</f>
        <v>472062.87810031185</v>
      </c>
      <c r="F16" s="103"/>
      <c r="G16" s="15">
        <f>tblSalesData893[[#This Row],[Amount of loan]]+(tblSalesData893[[#This Row],[Amount of loan]]*tblSalesData893[[#This Row],[Interest]])</f>
        <v>472062.87810031185</v>
      </c>
      <c r="H16" s="78">
        <f>tblSalesData893[[#This Row],[Total]]-tblSalesData893[[#This Row],[Monthly payment]]</f>
        <v>464195.16346530663</v>
      </c>
      <c r="I16" s="92">
        <f>tblSalesData893[[#This Row],[Total]]/5/12</f>
        <v>7867.714635005198</v>
      </c>
    </row>
    <row r="17" spans="1:9" x14ac:dyDescent="0.3">
      <c r="B17" s="12"/>
      <c r="C17" s="14"/>
      <c r="D17" s="56"/>
      <c r="E17" s="15">
        <f>H16</f>
        <v>464195.16346530663</v>
      </c>
      <c r="F17" s="103"/>
      <c r="G17" s="15">
        <f>tblSalesData893[[#This Row],[Amount of loan]]+(tblSalesData893[[#This Row],[Amount of loan]]*tblSalesData893[[#This Row],[Interest]])</f>
        <v>464195.16346530663</v>
      </c>
      <c r="H17" s="78">
        <f>tblSalesData893[[#This Row],[Total]]-tblSalesData893[[#This Row],[Monthly payment]]</f>
        <v>456458.57740755152</v>
      </c>
      <c r="I17" s="92">
        <f>tblSalesData893[[#This Row],[Total]]/5/12</f>
        <v>7736.5860577551102</v>
      </c>
    </row>
    <row r="18" spans="1:9" x14ac:dyDescent="0.3">
      <c r="B18" s="12"/>
      <c r="C18" s="14"/>
      <c r="D18" s="56"/>
      <c r="E18" s="15">
        <f>H17</f>
        <v>456458.57740755152</v>
      </c>
      <c r="F18" s="103"/>
      <c r="G18" s="15">
        <f>tblSalesData893[[#This Row],[Amount of loan]]+(tblSalesData893[[#This Row],[Amount of loan]]*tblSalesData893[[#This Row],[Interest]])</f>
        <v>456458.57740755152</v>
      </c>
      <c r="H18" s="78">
        <f>tblSalesData893[[#This Row],[Total]]-tblSalesData893[[#This Row],[Monthly payment]]</f>
        <v>448850.93445075897</v>
      </c>
      <c r="I18" s="92">
        <f>tblSalesData893[[#This Row],[Total]]/5/12</f>
        <v>7607.6429567925252</v>
      </c>
    </row>
    <row r="19" spans="1:9" x14ac:dyDescent="0.3">
      <c r="B19" s="12" t="s">
        <v>136</v>
      </c>
      <c r="C19" s="14" t="s">
        <v>137</v>
      </c>
      <c r="D19" s="56"/>
      <c r="E19" s="15">
        <f>H18</f>
        <v>448850.93445075897</v>
      </c>
      <c r="F19" s="103"/>
      <c r="G19" s="15">
        <f>tblSalesData893[[#This Row],[Amount of loan]]+(tblSalesData893[[#This Row],[Amount of loan]]*tblSalesData893[[#This Row],[Interest]])</f>
        <v>448850.93445075897</v>
      </c>
      <c r="H19" s="78">
        <f>tblSalesData893[[#This Row],[Total]]-tblSalesData893[[#This Row],[Monthly payment]]</f>
        <v>441370.0855432463</v>
      </c>
      <c r="I19" s="92">
        <f>tblSalesData893[[#This Row],[Total]]/5/12</f>
        <v>7480.848907512649</v>
      </c>
    </row>
    <row r="20" spans="1:9" x14ac:dyDescent="0.3">
      <c r="A20" s="77" t="s">
        <v>1</v>
      </c>
      <c r="B20" s="94"/>
      <c r="C20" s="95"/>
      <c r="D20" s="96"/>
      <c r="E20" s="97"/>
      <c r="F20" s="301"/>
      <c r="G20" s="97"/>
      <c r="H20" s="302"/>
      <c r="I20" s="93">
        <f>SUBTOTAL(109,tblSalesData893[Monthly payment])</f>
        <v>98629.914456753613</v>
      </c>
    </row>
    <row r="21" spans="1:9" x14ac:dyDescent="0.3">
      <c r="D21" s="44"/>
      <c r="E21" s="5"/>
    </row>
  </sheetData>
  <sheetProtection sort="0"/>
  <dataValidations disablePrompts="1" count="1">
    <dataValidation type="list" errorStyle="warning" allowBlank="1" showInputMessage="1" showErrorMessage="1" errorTitle="Whoops!" error="These numbers are from a list on the Inventory sheet.  To add it to the drop down list, click Cancel, go to the Inventory sheet and add it to the list." sqref="E8:F19">
      <formula1>PN</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P297"/>
  <sheetViews>
    <sheetView topLeftCell="B1" zoomScale="80" zoomScaleNormal="80" workbookViewId="0">
      <selection activeCell="C95" sqref="C95"/>
    </sheetView>
  </sheetViews>
  <sheetFormatPr defaultColWidth="9.140625" defaultRowHeight="15" x14ac:dyDescent="0.3"/>
  <cols>
    <col min="1" max="1" width="41" style="18" hidden="1" customWidth="1"/>
    <col min="2" max="2" width="39.42578125" style="116" customWidth="1"/>
    <col min="3" max="3" width="21.28515625" style="38" customWidth="1"/>
    <col min="4" max="4" width="21.28515625" style="18" customWidth="1"/>
    <col min="5" max="5" width="21" style="20" customWidth="1"/>
    <col min="6" max="6" width="47.28515625" style="18" customWidth="1"/>
    <col min="7" max="7" width="25.42578125" style="18" customWidth="1"/>
    <col min="8" max="9" width="9.140625" style="18"/>
    <col min="10" max="10" width="24.7109375" style="19" customWidth="1"/>
    <col min="11" max="11" width="17.42578125" style="19" customWidth="1"/>
    <col min="12" max="12" width="17" style="18" customWidth="1"/>
    <col min="13" max="13" width="13.140625" style="18" customWidth="1"/>
    <col min="14" max="14" width="11.7109375" style="18" customWidth="1"/>
    <col min="15" max="15" width="31.28515625" style="18" customWidth="1"/>
    <col min="16" max="16384" width="9.140625" style="18"/>
  </cols>
  <sheetData>
    <row r="1" spans="1:16" x14ac:dyDescent="0.3">
      <c r="A1" s="215"/>
      <c r="B1" s="216"/>
      <c r="C1" s="184"/>
      <c r="D1" s="195"/>
      <c r="E1" s="195"/>
      <c r="F1" s="195"/>
      <c r="G1" s="192"/>
      <c r="H1" s="192"/>
    </row>
    <row r="2" spans="1:16" ht="36" x14ac:dyDescent="0.3">
      <c r="A2" s="215"/>
      <c r="B2" s="217" t="s">
        <v>27</v>
      </c>
      <c r="C2" s="218"/>
      <c r="D2" s="195"/>
      <c r="E2" s="195"/>
      <c r="F2" s="195"/>
      <c r="G2" s="192"/>
      <c r="H2" s="192"/>
    </row>
    <row r="3" spans="1:16" ht="36" x14ac:dyDescent="0.3">
      <c r="A3" s="215"/>
      <c r="B3" s="219"/>
      <c r="C3" s="220"/>
      <c r="D3" s="195"/>
      <c r="E3" s="195"/>
      <c r="F3" s="195"/>
      <c r="G3" s="192"/>
      <c r="H3" s="192"/>
      <c r="L3" s="19"/>
      <c r="M3" s="20"/>
      <c r="N3" s="20"/>
      <c r="O3" s="20"/>
    </row>
    <row r="4" spans="1:16" x14ac:dyDescent="0.3">
      <c r="A4" s="221"/>
      <c r="B4" s="222"/>
      <c r="C4" s="131"/>
      <c r="D4" s="134"/>
      <c r="E4" s="135"/>
      <c r="F4" s="221"/>
      <c r="G4" s="196"/>
      <c r="H4" s="197"/>
    </row>
    <row r="5" spans="1:16" x14ac:dyDescent="0.3">
      <c r="A5" s="221"/>
      <c r="B5" s="222"/>
      <c r="C5" s="131"/>
      <c r="D5" s="222"/>
      <c r="E5" s="244"/>
      <c r="F5" s="221"/>
      <c r="G5" s="196"/>
      <c r="H5" s="197"/>
      <c r="J5" s="197"/>
      <c r="K5" s="199"/>
      <c r="L5" s="200"/>
      <c r="M5" s="201"/>
      <c r="N5" s="201"/>
      <c r="O5" s="201"/>
      <c r="P5" s="197"/>
    </row>
    <row r="6" spans="1:16" x14ac:dyDescent="0.3">
      <c r="A6" s="297"/>
      <c r="B6" s="290"/>
      <c r="C6" s="291"/>
      <c r="D6" s="291"/>
      <c r="E6" s="291"/>
      <c r="F6" s="221"/>
      <c r="G6" s="285"/>
      <c r="H6" s="285"/>
      <c r="I6" s="169"/>
      <c r="J6" s="169"/>
      <c r="K6" s="169"/>
      <c r="L6" s="169"/>
      <c r="M6" s="201"/>
      <c r="N6" s="201"/>
      <c r="O6" s="201"/>
      <c r="P6" s="197"/>
    </row>
    <row r="7" spans="1:16" x14ac:dyDescent="0.3">
      <c r="A7" s="297"/>
      <c r="B7" s="290"/>
      <c r="C7" s="292"/>
      <c r="D7" s="291"/>
      <c r="E7" s="291"/>
      <c r="F7" s="221"/>
      <c r="G7" s="285"/>
      <c r="H7" s="285"/>
      <c r="I7" s="169"/>
      <c r="J7" s="169"/>
      <c r="K7" s="169"/>
      <c r="L7" s="169"/>
      <c r="P7" s="197"/>
    </row>
    <row r="8" spans="1:16" x14ac:dyDescent="0.3">
      <c r="A8" s="223" t="s">
        <v>0</v>
      </c>
      <c r="B8" s="224" t="s">
        <v>104</v>
      </c>
      <c r="C8" s="225" t="s">
        <v>105</v>
      </c>
      <c r="D8" s="291"/>
      <c r="E8" s="291"/>
      <c r="F8" s="289"/>
      <c r="G8" s="169"/>
      <c r="H8" s="169"/>
      <c r="I8" s="169"/>
      <c r="J8" s="169"/>
      <c r="K8" s="18"/>
      <c r="N8" s="197"/>
    </row>
    <row r="9" spans="1:16" x14ac:dyDescent="0.3">
      <c r="A9" s="185"/>
      <c r="B9" s="186">
        <f>tblSalesData6[[#Totals],[Total income]]</f>
        <v>1520</v>
      </c>
      <c r="C9" s="225">
        <f>tblSalesData6[[#Totals],[Gross Profit]]</f>
        <v>1370</v>
      </c>
      <c r="D9" s="291"/>
      <c r="E9" s="291"/>
      <c r="F9" s="289"/>
      <c r="G9" s="169"/>
      <c r="H9" s="169"/>
      <c r="I9" s="169"/>
      <c r="J9" s="169"/>
      <c r="K9" s="18"/>
      <c r="N9" s="197"/>
    </row>
    <row r="10" spans="1:16" x14ac:dyDescent="0.3">
      <c r="A10" s="226"/>
      <c r="B10" s="227"/>
      <c r="C10" s="187">
        <f>SUBTOTAL(109,tblSalesData6516[Gross Profit])</f>
        <v>1370</v>
      </c>
      <c r="D10" s="245"/>
      <c r="E10" s="216"/>
      <c r="F10" s="246"/>
      <c r="G10" s="195"/>
      <c r="H10" s="195"/>
      <c r="I10" s="195"/>
      <c r="J10" s="18"/>
      <c r="K10" s="18"/>
      <c r="N10" s="192"/>
    </row>
    <row r="11" spans="1:16" ht="18" customHeight="1" x14ac:dyDescent="0.3">
      <c r="A11" s="215"/>
      <c r="B11" s="228"/>
      <c r="C11" s="228"/>
      <c r="D11" s="228"/>
      <c r="E11" s="247" t="s">
        <v>106</v>
      </c>
      <c r="F11" s="248">
        <f>SUM(C24+C48+C72)</f>
        <v>-25888.628571428573</v>
      </c>
      <c r="G11" s="286"/>
      <c r="H11" s="192"/>
      <c r="J11" s="203"/>
      <c r="P11" s="203"/>
    </row>
    <row r="12" spans="1:16" ht="15" customHeight="1" x14ac:dyDescent="0.3">
      <c r="A12" s="131"/>
      <c r="B12" s="229"/>
      <c r="C12" s="230"/>
      <c r="D12" s="131"/>
      <c r="E12" s="249"/>
      <c r="F12" s="248"/>
      <c r="G12" s="286"/>
      <c r="H12" s="192"/>
      <c r="J12" s="192"/>
      <c r="K12" s="193"/>
      <c r="L12" s="194"/>
      <c r="M12" s="195"/>
      <c r="N12" s="195"/>
      <c r="O12" s="195"/>
      <c r="P12" s="192"/>
    </row>
    <row r="13" spans="1:16" ht="21" x14ac:dyDescent="0.3">
      <c r="A13" s="131"/>
      <c r="B13" s="231"/>
      <c r="C13" s="231"/>
      <c r="D13" s="231"/>
      <c r="E13" s="250" t="s">
        <v>107</v>
      </c>
      <c r="F13" s="251">
        <f>SUM(C97+C121+C146)</f>
        <v>-28733.007726521166</v>
      </c>
      <c r="G13" s="97"/>
      <c r="H13" s="192"/>
    </row>
    <row r="14" spans="1:16" ht="21" x14ac:dyDescent="0.3">
      <c r="A14" s="131"/>
      <c r="B14" s="231"/>
      <c r="C14" s="231"/>
      <c r="D14" s="231"/>
      <c r="E14" s="250"/>
      <c r="F14" s="252"/>
      <c r="H14" s="192"/>
    </row>
    <row r="15" spans="1:16" ht="21" x14ac:dyDescent="0.3">
      <c r="A15" s="131"/>
      <c r="B15" s="293"/>
      <c r="C15" s="294"/>
      <c r="D15" s="253"/>
      <c r="E15" s="254" t="s">
        <v>108</v>
      </c>
      <c r="F15" s="252">
        <f>SUM(C170+C195+C219)</f>
        <v>-3566.1285714285718</v>
      </c>
      <c r="G15" s="119"/>
      <c r="H15" s="195"/>
      <c r="I15" s="172"/>
      <c r="J15" s="206"/>
      <c r="K15" s="206"/>
    </row>
    <row r="16" spans="1:16" ht="21" x14ac:dyDescent="0.3">
      <c r="A16" s="131"/>
      <c r="B16" s="293"/>
      <c r="C16" s="294"/>
      <c r="D16" s="253"/>
      <c r="E16" s="254"/>
      <c r="F16" s="252"/>
      <c r="G16" s="119"/>
      <c r="H16" s="195"/>
      <c r="I16" s="172"/>
      <c r="J16" s="206"/>
      <c r="K16" s="206"/>
    </row>
    <row r="17" spans="1:11" ht="21" x14ac:dyDescent="0.3">
      <c r="A17" s="131"/>
      <c r="B17" s="232" t="s">
        <v>14</v>
      </c>
      <c r="C17" s="233" t="s">
        <v>9</v>
      </c>
      <c r="D17" s="255"/>
      <c r="E17" s="256" t="s">
        <v>109</v>
      </c>
      <c r="F17" s="257">
        <f>SUM(C244+C268+C293)</f>
        <v>-2377.4190476190479</v>
      </c>
      <c r="G17" s="207"/>
      <c r="H17" s="208"/>
      <c r="I17" s="208"/>
      <c r="J17" s="18"/>
      <c r="K17" s="18"/>
    </row>
    <row r="18" spans="1:11" x14ac:dyDescent="0.3">
      <c r="A18" s="131"/>
      <c r="B18" s="234" t="str">
        <f>'Fixed materials registration'!B2</f>
        <v>Fixed materials Annual Deprciation cost per month</v>
      </c>
      <c r="C18" s="235">
        <f>tblSalesData8[[#Totals],[Monthly depriciation costs]]</f>
        <v>1188.7095238095239</v>
      </c>
      <c r="D18" s="255"/>
      <c r="E18" s="255"/>
      <c r="F18" s="258"/>
      <c r="G18" s="209"/>
      <c r="J18" s="18"/>
      <c r="K18" s="18"/>
    </row>
    <row r="19" spans="1:11" x14ac:dyDescent="0.3">
      <c r="A19" s="131"/>
      <c r="B19" s="236" t="str">
        <f>'Salary of employees'!B2</f>
        <v>Salary of employees &amp; labour costs</v>
      </c>
      <c r="C19" s="235">
        <f>tblSalesData89[[#Totals],[Total payment]]</f>
        <v>1000</v>
      </c>
      <c r="D19" s="255"/>
      <c r="E19" s="299" t="s">
        <v>100</v>
      </c>
      <c r="F19" s="283">
        <f>SUM(F11+F13+F15+F17)</f>
        <v>-60565.183916997354</v>
      </c>
      <c r="G19" s="209"/>
      <c r="J19" s="18"/>
      <c r="K19" s="18"/>
    </row>
    <row r="20" spans="1:11" x14ac:dyDescent="0.3">
      <c r="A20" s="131"/>
      <c r="B20" s="234" t="str">
        <f>'Raw materials'!B2</f>
        <v>Raw materials</v>
      </c>
      <c r="C20" s="235">
        <f>tblSalesData810[[#Totals],[Monthly depreciation costs]]</f>
        <v>0</v>
      </c>
      <c r="D20" s="255"/>
      <c r="E20" s="299"/>
      <c r="F20" s="284"/>
      <c r="G20" s="209"/>
      <c r="J20" s="18"/>
      <c r="K20" s="18"/>
    </row>
    <row r="21" spans="1:11" x14ac:dyDescent="0.3">
      <c r="A21" s="131"/>
      <c r="B21" s="236" t="str">
        <f>Loan!B1</f>
        <v>Loan - Is not needed yet</v>
      </c>
      <c r="C21" s="233">
        <f>Loan!I8</f>
        <v>9000</v>
      </c>
      <c r="D21" s="255"/>
      <c r="E21" s="299"/>
      <c r="F21" s="284"/>
      <c r="G21" s="210"/>
      <c r="J21" s="18"/>
      <c r="K21" s="18"/>
    </row>
    <row r="22" spans="1:11" x14ac:dyDescent="0.3">
      <c r="A22" s="237"/>
      <c r="B22" s="238"/>
      <c r="C22" s="239">
        <f>SUBTOTAL(109,tblSalesData674[Total])</f>
        <v>11188.709523809524</v>
      </c>
      <c r="D22" s="119"/>
      <c r="E22" s="119"/>
      <c r="F22" s="95"/>
      <c r="G22" s="19"/>
      <c r="J22" s="18"/>
      <c r="K22" s="18"/>
    </row>
    <row r="23" spans="1:11" x14ac:dyDescent="0.3">
      <c r="A23" s="237"/>
      <c r="B23" s="237"/>
      <c r="C23" s="237"/>
      <c r="D23" s="211"/>
      <c r="E23" s="212"/>
      <c r="F23" s="119"/>
      <c r="G23" s="119"/>
      <c r="H23" s="95"/>
      <c r="I23" s="19"/>
      <c r="J23" s="18"/>
      <c r="K23" s="18"/>
    </row>
    <row r="24" spans="1:11" x14ac:dyDescent="0.3">
      <c r="A24" s="237"/>
      <c r="B24" s="229"/>
      <c r="C24" s="288">
        <f>tblSalesData6516[[#Totals],[Gross Profit]]-tblSalesData674[[#Totals],[Total]]</f>
        <v>-9818.7095238095244</v>
      </c>
      <c r="E24" s="287"/>
      <c r="F24" s="119"/>
      <c r="G24" s="119"/>
      <c r="H24" s="192"/>
    </row>
    <row r="25" spans="1:11" x14ac:dyDescent="0.3">
      <c r="A25" s="237"/>
      <c r="B25" s="229"/>
      <c r="C25" s="288"/>
      <c r="E25" s="287"/>
      <c r="F25" s="119"/>
      <c r="G25" s="119"/>
      <c r="H25" s="192"/>
    </row>
    <row r="26" spans="1:11" x14ac:dyDescent="0.3">
      <c r="A26" s="237"/>
      <c r="B26" s="229"/>
      <c r="C26" s="288"/>
      <c r="E26" s="287"/>
      <c r="F26" s="119"/>
      <c r="G26" s="119"/>
      <c r="H26" s="192"/>
    </row>
    <row r="27" spans="1:11" x14ac:dyDescent="0.3">
      <c r="A27" s="237"/>
      <c r="B27" s="229"/>
      <c r="C27" s="230"/>
      <c r="F27" s="119"/>
      <c r="G27" s="119"/>
      <c r="H27" s="192"/>
    </row>
    <row r="28" spans="1:11" x14ac:dyDescent="0.3">
      <c r="A28" s="295" t="s">
        <v>69</v>
      </c>
      <c r="B28" s="222"/>
      <c r="C28" s="131"/>
      <c r="D28" s="19"/>
      <c r="F28" s="192"/>
      <c r="G28" s="192"/>
      <c r="H28" s="192"/>
    </row>
    <row r="29" spans="1:11" x14ac:dyDescent="0.3">
      <c r="A29" s="296"/>
      <c r="B29" s="222"/>
      <c r="C29" s="131"/>
      <c r="D29" s="197"/>
      <c r="E29" s="198"/>
    </row>
    <row r="30" spans="1:11" x14ac:dyDescent="0.3">
      <c r="A30" s="290"/>
      <c r="B30" s="290"/>
      <c r="C30" s="291"/>
      <c r="D30" s="298"/>
      <c r="E30" s="298"/>
    </row>
    <row r="31" spans="1:11" x14ac:dyDescent="0.3">
      <c r="A31" s="290"/>
      <c r="B31" s="290"/>
      <c r="C31" s="292"/>
      <c r="D31" s="298"/>
      <c r="E31" s="298"/>
    </row>
    <row r="32" spans="1:11" x14ac:dyDescent="0.3">
      <c r="A32" s="223" t="s">
        <v>0</v>
      </c>
      <c r="B32" s="224" t="s">
        <v>104</v>
      </c>
      <c r="C32" s="225" t="s">
        <v>105</v>
      </c>
      <c r="D32" s="298"/>
      <c r="E32" s="298"/>
      <c r="H32" s="19"/>
      <c r="I32" s="19"/>
      <c r="J32" s="18"/>
      <c r="K32" s="18"/>
    </row>
    <row r="33" spans="1:11" x14ac:dyDescent="0.3">
      <c r="A33" s="153">
        <v>43313</v>
      </c>
      <c r="B33" s="186">
        <f>tblSalesData67[[#Totals],[Total income]]</f>
        <v>1200</v>
      </c>
      <c r="C33" s="225">
        <f>tblSalesData67[[#Totals],[Gross Profit]]</f>
        <v>1200</v>
      </c>
      <c r="D33" s="298"/>
      <c r="E33" s="298"/>
      <c r="H33" s="19"/>
      <c r="I33" s="19"/>
      <c r="J33" s="18"/>
      <c r="K33" s="18"/>
    </row>
    <row r="34" spans="1:11" x14ac:dyDescent="0.3">
      <c r="A34" s="240"/>
      <c r="B34" s="241"/>
      <c r="C34" s="188">
        <f>SUBTOTAL(109,tblSalesData651621[Gross Profit])</f>
        <v>1200</v>
      </c>
      <c r="E34" s="18"/>
      <c r="H34" s="19"/>
      <c r="I34" s="19"/>
      <c r="J34" s="18"/>
      <c r="K34" s="18"/>
    </row>
    <row r="35" spans="1:11" ht="23.25" x14ac:dyDescent="0.3">
      <c r="A35" s="215"/>
      <c r="B35" s="228"/>
      <c r="C35" s="228"/>
      <c r="D35" s="202"/>
      <c r="E35" s="213"/>
    </row>
    <row r="36" spans="1:11" x14ac:dyDescent="0.3">
      <c r="A36" s="131"/>
      <c r="B36" s="229"/>
      <c r="C36" s="230"/>
      <c r="E36" s="212"/>
    </row>
    <row r="37" spans="1:11" x14ac:dyDescent="0.3">
      <c r="A37" s="131"/>
      <c r="B37" s="231"/>
      <c r="C37" s="231"/>
      <c r="D37" s="204"/>
      <c r="E37" s="196"/>
    </row>
    <row r="38" spans="1:11" x14ac:dyDescent="0.3">
      <c r="A38" s="131"/>
      <c r="B38" s="231"/>
      <c r="C38" s="231"/>
      <c r="D38" s="204"/>
      <c r="E38" s="196"/>
    </row>
    <row r="39" spans="1:11" x14ac:dyDescent="0.3">
      <c r="A39" s="131"/>
      <c r="B39" s="293"/>
      <c r="C39" s="294"/>
      <c r="D39" s="205"/>
      <c r="E39" s="205"/>
    </row>
    <row r="40" spans="1:11" x14ac:dyDescent="0.3">
      <c r="A40" s="131"/>
      <c r="B40" s="293"/>
      <c r="C40" s="294"/>
      <c r="D40" s="205"/>
      <c r="E40" s="205"/>
    </row>
    <row r="41" spans="1:11" x14ac:dyDescent="0.3">
      <c r="A41" s="131"/>
      <c r="B41" s="232" t="s">
        <v>14</v>
      </c>
      <c r="C41" s="233" t="s">
        <v>9</v>
      </c>
      <c r="E41" s="18"/>
      <c r="H41" s="19"/>
      <c r="I41" s="19"/>
      <c r="J41" s="18"/>
      <c r="K41" s="18"/>
    </row>
    <row r="42" spans="1:11" x14ac:dyDescent="0.3">
      <c r="A42" s="131"/>
      <c r="B42" s="234" t="str">
        <f>'Fixed materials registration'!B2</f>
        <v>Fixed materials Annual Deprciation cost per month</v>
      </c>
      <c r="C42" s="235">
        <f>tblSalesData8[[#Totals],[Monthly depriciation costs]]</f>
        <v>1188.7095238095239</v>
      </c>
      <c r="E42" s="18"/>
      <c r="H42" s="19"/>
      <c r="I42" s="19"/>
      <c r="J42" s="18"/>
      <c r="K42" s="18"/>
    </row>
    <row r="43" spans="1:11" x14ac:dyDescent="0.3">
      <c r="A43" s="131"/>
      <c r="B43" s="236" t="str">
        <f>'Salary of employees'!B2</f>
        <v>Salary of employees &amp; labour costs</v>
      </c>
      <c r="C43" s="235">
        <f>tblSalesData8948[[#Totals],[Total payment]]</f>
        <v>0</v>
      </c>
      <c r="E43" s="18"/>
      <c r="H43" s="19"/>
      <c r="I43" s="19"/>
      <c r="J43" s="18"/>
      <c r="K43" s="18"/>
    </row>
    <row r="44" spans="1:11" x14ac:dyDescent="0.3">
      <c r="A44" s="131"/>
      <c r="B44" s="234" t="str">
        <f>'Raw materials'!B2</f>
        <v>Raw materials</v>
      </c>
      <c r="C44" s="235">
        <f>tblSalesData81082[[#Totals],[Monthly depreciation costs]]</f>
        <v>0</v>
      </c>
      <c r="E44" s="18"/>
      <c r="H44" s="19"/>
      <c r="I44" s="19"/>
      <c r="J44" s="18"/>
      <c r="K44" s="18"/>
    </row>
    <row r="45" spans="1:11" x14ac:dyDescent="0.3">
      <c r="A45" s="131"/>
      <c r="B45" s="236" t="str">
        <f>Loan!B1</f>
        <v>Loan - Is not needed yet</v>
      </c>
      <c r="C45" s="233">
        <f>Loan!I9</f>
        <v>8850</v>
      </c>
      <c r="E45" s="18"/>
      <c r="H45" s="19"/>
      <c r="I45" s="19"/>
      <c r="J45" s="18"/>
      <c r="K45" s="18"/>
    </row>
    <row r="46" spans="1:11" x14ac:dyDescent="0.3">
      <c r="A46" s="237"/>
      <c r="B46" s="238"/>
      <c r="C46" s="239">
        <f>SUBTOTAL(109,tblSalesData67420[Total])</f>
        <v>10038.709523809524</v>
      </c>
      <c r="E46" s="18"/>
      <c r="H46" s="19"/>
      <c r="I46" s="19"/>
      <c r="J46" s="18"/>
      <c r="K46" s="18"/>
    </row>
    <row r="47" spans="1:11" x14ac:dyDescent="0.3">
      <c r="A47" s="237"/>
      <c r="B47" s="237"/>
      <c r="C47" s="237"/>
      <c r="D47" s="211"/>
      <c r="E47" s="212"/>
    </row>
    <row r="48" spans="1:11" x14ac:dyDescent="0.3">
      <c r="A48" s="237"/>
      <c r="B48" s="229"/>
      <c r="C48" s="288">
        <f>tblSalesData651621[[#Totals],[Gross Profit]]-tblSalesData67420[[#Totals],[Total]]</f>
        <v>-8838.7095238095244</v>
      </c>
      <c r="E48" s="287"/>
    </row>
    <row r="49" spans="1:5" x14ac:dyDescent="0.3">
      <c r="A49" s="237"/>
      <c r="B49" s="229"/>
      <c r="C49" s="288"/>
      <c r="E49" s="287"/>
    </row>
    <row r="50" spans="1:5" x14ac:dyDescent="0.3">
      <c r="A50" s="237"/>
      <c r="B50" s="229"/>
      <c r="C50" s="288"/>
      <c r="E50" s="287"/>
    </row>
    <row r="51" spans="1:5" x14ac:dyDescent="0.3">
      <c r="A51" s="131"/>
      <c r="B51" s="229"/>
      <c r="C51" s="230"/>
    </row>
    <row r="52" spans="1:5" ht="15" customHeight="1" x14ac:dyDescent="0.3">
      <c r="A52" s="295" t="s">
        <v>70</v>
      </c>
      <c r="B52" s="222"/>
      <c r="C52" s="131"/>
      <c r="D52" s="214"/>
      <c r="E52" s="214"/>
    </row>
    <row r="53" spans="1:5" ht="15" customHeight="1" x14ac:dyDescent="0.3">
      <c r="A53" s="296"/>
      <c r="B53" s="222"/>
      <c r="C53" s="131"/>
      <c r="D53" s="214"/>
      <c r="E53" s="214"/>
    </row>
    <row r="54" spans="1:5" ht="15" customHeight="1" x14ac:dyDescent="0.3">
      <c r="A54" s="290"/>
      <c r="B54" s="290"/>
      <c r="C54" s="291"/>
      <c r="D54" s="214"/>
      <c r="E54" s="214"/>
    </row>
    <row r="55" spans="1:5" ht="15" customHeight="1" x14ac:dyDescent="0.3">
      <c r="A55" s="290"/>
      <c r="B55" s="290"/>
      <c r="C55" s="292"/>
      <c r="D55" s="214"/>
      <c r="E55" s="214"/>
    </row>
    <row r="56" spans="1:5" ht="15" customHeight="1" x14ac:dyDescent="0.3">
      <c r="A56" s="223" t="s">
        <v>0</v>
      </c>
      <c r="B56" s="224" t="s">
        <v>104</v>
      </c>
      <c r="C56" s="225" t="s">
        <v>105</v>
      </c>
      <c r="D56" s="214"/>
      <c r="E56" s="214"/>
    </row>
    <row r="57" spans="1:5" ht="15" customHeight="1" x14ac:dyDescent="0.3">
      <c r="A57" s="242">
        <v>43345</v>
      </c>
      <c r="B57" s="186">
        <f>tblSalesData6735[[#Totals],[Total income]]</f>
        <v>2810</v>
      </c>
      <c r="C57" s="151">
        <f>tblSalesData6735[[#Totals],[Gross Profit]]</f>
        <v>2660</v>
      </c>
      <c r="D57" s="214"/>
      <c r="E57" s="214"/>
    </row>
    <row r="58" spans="1:5" ht="15" customHeight="1" x14ac:dyDescent="0.3">
      <c r="A58" s="240"/>
      <c r="B58" s="241"/>
      <c r="C58" s="188">
        <f>SUBTOTAL(109,tblSalesData65162111[Gross Profit])</f>
        <v>2660</v>
      </c>
      <c r="D58" s="214"/>
      <c r="E58" s="214"/>
    </row>
    <row r="59" spans="1:5" ht="15" customHeight="1" x14ac:dyDescent="0.3">
      <c r="A59" s="215"/>
      <c r="B59" s="228"/>
      <c r="C59" s="228"/>
      <c r="D59" s="214"/>
      <c r="E59" s="214"/>
    </row>
    <row r="60" spans="1:5" ht="15" customHeight="1" x14ac:dyDescent="0.3">
      <c r="A60" s="131"/>
      <c r="B60" s="229"/>
      <c r="C60" s="230"/>
      <c r="D60" s="214"/>
      <c r="E60" s="214"/>
    </row>
    <row r="61" spans="1:5" ht="15" customHeight="1" x14ac:dyDescent="0.3">
      <c r="A61" s="131"/>
      <c r="B61" s="231"/>
      <c r="C61" s="231"/>
      <c r="D61" s="214"/>
      <c r="E61" s="214"/>
    </row>
    <row r="62" spans="1:5" ht="15" customHeight="1" x14ac:dyDescent="0.3">
      <c r="A62" s="131"/>
      <c r="B62" s="231"/>
      <c r="C62" s="231"/>
      <c r="D62" s="214"/>
      <c r="E62" s="214"/>
    </row>
    <row r="63" spans="1:5" ht="15" customHeight="1" x14ac:dyDescent="0.3">
      <c r="A63" s="131"/>
      <c r="B63" s="293"/>
      <c r="C63" s="294"/>
      <c r="D63" s="214"/>
      <c r="E63" s="214"/>
    </row>
    <row r="64" spans="1:5" ht="15" customHeight="1" x14ac:dyDescent="0.3">
      <c r="A64" s="131"/>
      <c r="B64" s="293"/>
      <c r="C64" s="294"/>
      <c r="D64" s="214"/>
      <c r="E64" s="214"/>
    </row>
    <row r="65" spans="1:5" ht="15" customHeight="1" x14ac:dyDescent="0.3">
      <c r="A65" s="131"/>
      <c r="B65" s="232" t="s">
        <v>14</v>
      </c>
      <c r="C65" s="233" t="s">
        <v>9</v>
      </c>
      <c r="D65" s="214"/>
      <c r="E65" s="214"/>
    </row>
    <row r="66" spans="1:5" ht="15" customHeight="1" x14ac:dyDescent="0.3">
      <c r="A66" s="131"/>
      <c r="B66" s="234" t="str">
        <f>'Fixed materials registration'!B2</f>
        <v>Fixed materials Annual Deprciation cost per month</v>
      </c>
      <c r="C66" s="235">
        <f>tblSalesData8[[#Totals],[Monthly depriciation costs]]</f>
        <v>1188.7095238095239</v>
      </c>
      <c r="D66" s="214"/>
      <c r="E66" s="214"/>
    </row>
    <row r="67" spans="1:5" ht="15" customHeight="1" x14ac:dyDescent="0.3">
      <c r="A67" s="131"/>
      <c r="B67" s="236" t="str">
        <f>'Salary of employees'!B2</f>
        <v>Salary of employees &amp; labour costs</v>
      </c>
      <c r="C67" s="235">
        <f>tblSalesData8949[[#Totals],[Total payment]]</f>
        <v>0</v>
      </c>
      <c r="D67" s="214"/>
      <c r="E67" s="214"/>
    </row>
    <row r="68" spans="1:5" ht="15" customHeight="1" x14ac:dyDescent="0.3">
      <c r="A68" s="131"/>
      <c r="B68" s="234" t="str">
        <f>'Raw materials'!B2</f>
        <v>Raw materials</v>
      </c>
      <c r="C68" s="235">
        <f>tblSalesData81083[[#Totals],[Monthly depreciation costs]]</f>
        <v>0</v>
      </c>
      <c r="D68" s="214"/>
      <c r="E68" s="214"/>
    </row>
    <row r="69" spans="1:5" ht="15" customHeight="1" x14ac:dyDescent="0.3">
      <c r="A69" s="131"/>
      <c r="B69" s="236" t="str">
        <f>Loan!B1</f>
        <v>Loan - Is not needed yet</v>
      </c>
      <c r="C69" s="233">
        <f>Loan!I10</f>
        <v>8702.5</v>
      </c>
      <c r="D69" s="214"/>
      <c r="E69" s="214"/>
    </row>
    <row r="70" spans="1:5" x14ac:dyDescent="0.3">
      <c r="A70" s="237"/>
      <c r="B70" s="238"/>
      <c r="C70" s="239">
        <f>SUBTOTAL(109,tblSalesData674205[Total])</f>
        <v>9891.2095238095244</v>
      </c>
      <c r="E70" s="287"/>
    </row>
    <row r="71" spans="1:5" x14ac:dyDescent="0.3">
      <c r="A71" s="237"/>
      <c r="B71" s="237"/>
      <c r="C71" s="237"/>
      <c r="E71" s="287"/>
    </row>
    <row r="72" spans="1:5" x14ac:dyDescent="0.3">
      <c r="A72" s="237"/>
      <c r="B72" s="229"/>
      <c r="C72" s="288">
        <f>tblSalesData65162111[[#Totals],[Gross Profit]]-tblSalesData674205[[#Totals],[Total]]</f>
        <v>-7231.2095238095244</v>
      </c>
      <c r="E72" s="287"/>
    </row>
    <row r="73" spans="1:5" x14ac:dyDescent="0.3">
      <c r="A73" s="237"/>
      <c r="B73" s="229"/>
      <c r="C73" s="288"/>
    </row>
    <row r="74" spans="1:5" x14ac:dyDescent="0.3">
      <c r="A74" s="237"/>
      <c r="B74" s="229"/>
      <c r="C74" s="288"/>
    </row>
    <row r="75" spans="1:5" x14ac:dyDescent="0.3">
      <c r="A75" s="131"/>
      <c r="B75" s="229"/>
      <c r="C75" s="230"/>
    </row>
    <row r="76" spans="1:5" x14ac:dyDescent="0.3">
      <c r="A76" s="131"/>
      <c r="B76" s="229"/>
      <c r="C76" s="230"/>
    </row>
    <row r="77" spans="1:5" x14ac:dyDescent="0.3">
      <c r="A77" s="295" t="s">
        <v>71</v>
      </c>
      <c r="B77" s="222"/>
      <c r="C77" s="131"/>
    </row>
    <row r="78" spans="1:5" x14ac:dyDescent="0.3">
      <c r="A78" s="296"/>
      <c r="B78" s="222"/>
      <c r="C78" s="131"/>
    </row>
    <row r="79" spans="1:5" x14ac:dyDescent="0.3">
      <c r="A79" s="290"/>
      <c r="B79" s="290"/>
      <c r="C79" s="291"/>
    </row>
    <row r="80" spans="1:5" x14ac:dyDescent="0.3">
      <c r="A80" s="290"/>
      <c r="B80" s="290"/>
      <c r="C80" s="292"/>
    </row>
    <row r="81" spans="1:3" x14ac:dyDescent="0.3">
      <c r="A81" s="223" t="s">
        <v>0</v>
      </c>
      <c r="B81" s="224" t="s">
        <v>104</v>
      </c>
      <c r="C81" s="225" t="s">
        <v>105</v>
      </c>
    </row>
    <row r="82" spans="1:3" x14ac:dyDescent="0.3">
      <c r="A82" s="185">
        <f>'Daily sales'!C61</f>
        <v>0</v>
      </c>
      <c r="B82" s="186">
        <f>tblSalesData673536[[#Totals],[Total income]]</f>
        <v>80</v>
      </c>
      <c r="C82" s="225">
        <f>tblSalesData673536[[#Totals],[Gross Profit]]</f>
        <v>80</v>
      </c>
    </row>
    <row r="83" spans="1:3" x14ac:dyDescent="0.3">
      <c r="A83" s="243"/>
      <c r="B83" s="241"/>
      <c r="C83" s="189">
        <f>SUBTOTAL(109,tblSalesData65162113[Gross Profit])</f>
        <v>80</v>
      </c>
    </row>
    <row r="84" spans="1:3" ht="23.25" x14ac:dyDescent="0.3">
      <c r="A84" s="215"/>
      <c r="B84" s="228"/>
      <c r="C84" s="228"/>
    </row>
    <row r="85" spans="1:3" x14ac:dyDescent="0.3">
      <c r="A85" s="131"/>
      <c r="B85" s="229"/>
      <c r="C85" s="230"/>
    </row>
    <row r="86" spans="1:3" x14ac:dyDescent="0.3">
      <c r="A86" s="131"/>
      <c r="B86" s="231"/>
      <c r="C86" s="231"/>
    </row>
    <row r="87" spans="1:3" x14ac:dyDescent="0.3">
      <c r="A87" s="131"/>
      <c r="B87" s="231"/>
      <c r="C87" s="231"/>
    </row>
    <row r="88" spans="1:3" x14ac:dyDescent="0.3">
      <c r="A88" s="131"/>
      <c r="B88" s="293"/>
      <c r="C88" s="294"/>
    </row>
    <row r="89" spans="1:3" x14ac:dyDescent="0.3">
      <c r="A89" s="131"/>
      <c r="B89" s="293"/>
      <c r="C89" s="294"/>
    </row>
    <row r="90" spans="1:3" x14ac:dyDescent="0.3">
      <c r="A90" s="131"/>
      <c r="B90" s="232" t="s">
        <v>14</v>
      </c>
      <c r="C90" s="233" t="s">
        <v>9</v>
      </c>
    </row>
    <row r="91" spans="1:3" x14ac:dyDescent="0.3">
      <c r="A91" s="131"/>
      <c r="B91" s="234" t="str">
        <f>'Fixed materials registration'!B2</f>
        <v>Fixed materials Annual Deprciation cost per month</v>
      </c>
      <c r="C91" s="235">
        <f>tblSalesData8[[#Totals],[Monthly depriciation costs]]</f>
        <v>1188.7095238095239</v>
      </c>
    </row>
    <row r="92" spans="1:3" x14ac:dyDescent="0.3">
      <c r="A92" s="131"/>
      <c r="B92" s="236" t="str">
        <f>'Salary of employees'!B2</f>
        <v>Salary of employees &amp; labour costs</v>
      </c>
      <c r="C92" s="235">
        <f>tblSalesData894850[[#Totals],[Total payment]]</f>
        <v>0</v>
      </c>
    </row>
    <row r="93" spans="1:3" x14ac:dyDescent="0.3">
      <c r="A93" s="131"/>
      <c r="B93" s="234" t="str">
        <f>'Raw materials'!B2</f>
        <v>Raw materials</v>
      </c>
      <c r="C93" s="235">
        <f>tblSalesData81084[[#Totals],[Monthly depreciation costs]]</f>
        <v>0</v>
      </c>
    </row>
    <row r="94" spans="1:3" x14ac:dyDescent="0.3">
      <c r="A94" s="131"/>
      <c r="B94" s="236" t="str">
        <f>Loan!B1</f>
        <v>Loan - Is not needed yet</v>
      </c>
      <c r="C94" s="233">
        <f>Loan!I11</f>
        <v>8557.4583333333339</v>
      </c>
    </row>
    <row r="95" spans="1:3" x14ac:dyDescent="0.3">
      <c r="A95" s="237"/>
      <c r="B95" s="238"/>
      <c r="C95" s="239">
        <f>SUBTOTAL(109,tblSalesData6742012[Total])</f>
        <v>9746.1678571428583</v>
      </c>
    </row>
    <row r="96" spans="1:3" x14ac:dyDescent="0.3">
      <c r="A96" s="237"/>
      <c r="B96" s="237"/>
      <c r="C96" s="237"/>
    </row>
    <row r="97" spans="1:3" x14ac:dyDescent="0.3">
      <c r="A97" s="237"/>
      <c r="B97" s="229"/>
      <c r="C97" s="288">
        <f>tblSalesData65162113[[#Totals],[Gross Profit]]-tblSalesData6742012[[#Totals],[Total]]</f>
        <v>-9666.1678571428583</v>
      </c>
    </row>
    <row r="98" spans="1:3" x14ac:dyDescent="0.3">
      <c r="A98" s="237"/>
      <c r="B98" s="229"/>
      <c r="C98" s="288"/>
    </row>
    <row r="99" spans="1:3" x14ac:dyDescent="0.3">
      <c r="A99" s="237"/>
      <c r="B99" s="229"/>
      <c r="C99" s="288"/>
    </row>
    <row r="100" spans="1:3" x14ac:dyDescent="0.3">
      <c r="A100" s="131"/>
      <c r="B100" s="229"/>
      <c r="C100" s="230"/>
    </row>
    <row r="101" spans="1:3" x14ac:dyDescent="0.3">
      <c r="A101" s="295" t="s">
        <v>72</v>
      </c>
      <c r="B101" s="222"/>
      <c r="C101" s="131"/>
    </row>
    <row r="102" spans="1:3" x14ac:dyDescent="0.3">
      <c r="A102" s="296"/>
      <c r="B102" s="222"/>
      <c r="C102" s="131"/>
    </row>
    <row r="103" spans="1:3" x14ac:dyDescent="0.3">
      <c r="A103" s="290"/>
      <c r="B103" s="290"/>
      <c r="C103" s="291"/>
    </row>
    <row r="104" spans="1:3" x14ac:dyDescent="0.3">
      <c r="A104" s="290"/>
      <c r="B104" s="290"/>
      <c r="C104" s="292"/>
    </row>
    <row r="105" spans="1:3" x14ac:dyDescent="0.3">
      <c r="A105" s="223" t="s">
        <v>0</v>
      </c>
      <c r="B105" s="224" t="s">
        <v>104</v>
      </c>
      <c r="C105" s="225" t="s">
        <v>105</v>
      </c>
    </row>
    <row r="106" spans="1:3" x14ac:dyDescent="0.3">
      <c r="A106" s="185">
        <f>'Daily sales'!C67</f>
        <v>0</v>
      </c>
      <c r="B106" s="186">
        <f>tblSalesData6737[[#Totals],[Total income]]</f>
        <v>0</v>
      </c>
      <c r="C106" s="225">
        <f>tblSalesData6737[[#Totals],[Gross Profit]]</f>
        <v>0</v>
      </c>
    </row>
    <row r="107" spans="1:3" x14ac:dyDescent="0.3">
      <c r="A107" s="243"/>
      <c r="B107" s="241"/>
      <c r="C107" s="189">
        <f>SUBTOTAL(109,tblSalesData6516211115[Gross Profit])</f>
        <v>0</v>
      </c>
    </row>
    <row r="108" spans="1:3" ht="23.25" x14ac:dyDescent="0.3">
      <c r="A108" s="215"/>
      <c r="B108" s="228"/>
      <c r="C108" s="228"/>
    </row>
    <row r="109" spans="1:3" x14ac:dyDescent="0.3">
      <c r="A109" s="131"/>
      <c r="B109" s="229"/>
      <c r="C109" s="230"/>
    </row>
    <row r="110" spans="1:3" x14ac:dyDescent="0.3">
      <c r="A110" s="131"/>
      <c r="B110" s="231"/>
      <c r="C110" s="231"/>
    </row>
    <row r="111" spans="1:3" x14ac:dyDescent="0.3">
      <c r="A111" s="131"/>
      <c r="B111" s="231"/>
      <c r="C111" s="231"/>
    </row>
    <row r="112" spans="1:3" x14ac:dyDescent="0.3">
      <c r="A112" s="131"/>
      <c r="B112" s="293"/>
      <c r="C112" s="294"/>
    </row>
    <row r="113" spans="1:3" x14ac:dyDescent="0.3">
      <c r="A113" s="131"/>
      <c r="B113" s="293"/>
      <c r="C113" s="294"/>
    </row>
    <row r="114" spans="1:3" x14ac:dyDescent="0.3">
      <c r="A114" s="131"/>
      <c r="B114" s="232" t="s">
        <v>14</v>
      </c>
      <c r="C114" s="233" t="s">
        <v>9</v>
      </c>
    </row>
    <row r="115" spans="1:3" x14ac:dyDescent="0.3">
      <c r="A115" s="131"/>
      <c r="B115" s="234" t="str">
        <f>'Fixed materials registration'!B2</f>
        <v>Fixed materials Annual Deprciation cost per month</v>
      </c>
      <c r="C115" s="235">
        <f>tblSalesData8[[#Totals],[Monthly depriciation costs]]</f>
        <v>1188.7095238095239</v>
      </c>
    </row>
    <row r="116" spans="1:3" x14ac:dyDescent="0.3">
      <c r="A116" s="131"/>
      <c r="B116" s="236" t="str">
        <f>'Salary of employees'!B2</f>
        <v>Salary of employees &amp; labour costs</v>
      </c>
      <c r="C116" s="235">
        <f>tblSalesData8951[[#Totals],[Total payment]]</f>
        <v>0</v>
      </c>
    </row>
    <row r="117" spans="1:3" x14ac:dyDescent="0.3">
      <c r="A117" s="131"/>
      <c r="B117" s="234" t="str">
        <f>'Raw materials'!B2</f>
        <v>Raw materials</v>
      </c>
      <c r="C117" s="235">
        <f>tblSalesData81085[[#Totals],[Monthly depreciation costs]]</f>
        <v>0</v>
      </c>
    </row>
    <row r="118" spans="1:3" x14ac:dyDescent="0.3">
      <c r="A118" s="131"/>
      <c r="B118" s="236" t="str">
        <f>Loan!B1</f>
        <v>Loan - Is not needed yet</v>
      </c>
      <c r="C118" s="233">
        <f>Loan!I12</f>
        <v>8414.834027777777</v>
      </c>
    </row>
    <row r="119" spans="1:3" x14ac:dyDescent="0.3">
      <c r="A119" s="237"/>
      <c r="B119" s="238"/>
      <c r="C119" s="239">
        <f>SUBTOTAL(109,tblSalesData67420514[Total])</f>
        <v>9603.5435515873014</v>
      </c>
    </row>
    <row r="120" spans="1:3" x14ac:dyDescent="0.3">
      <c r="A120" s="237"/>
      <c r="B120" s="237"/>
      <c r="C120" s="237"/>
    </row>
    <row r="121" spans="1:3" x14ac:dyDescent="0.3">
      <c r="A121" s="237"/>
      <c r="B121" s="229"/>
      <c r="C121" s="288">
        <f>tblSalesData6516211115[[#Totals],[Gross Profit]]-tblSalesData67420514[[#Totals],[Total]]</f>
        <v>-9603.5435515873014</v>
      </c>
    </row>
    <row r="122" spans="1:3" x14ac:dyDescent="0.3">
      <c r="A122" s="237"/>
      <c r="B122" s="229"/>
      <c r="C122" s="288"/>
    </row>
    <row r="123" spans="1:3" x14ac:dyDescent="0.3">
      <c r="A123" s="237"/>
      <c r="B123" s="229"/>
      <c r="C123" s="288"/>
    </row>
    <row r="124" spans="1:3" x14ac:dyDescent="0.3">
      <c r="A124" s="131"/>
      <c r="B124" s="229"/>
      <c r="C124" s="230"/>
    </row>
    <row r="125" spans="1:3" x14ac:dyDescent="0.3">
      <c r="A125" s="131"/>
      <c r="B125" s="229"/>
      <c r="C125" s="230"/>
    </row>
    <row r="126" spans="1:3" x14ac:dyDescent="0.3">
      <c r="A126" s="295" t="s">
        <v>73</v>
      </c>
      <c r="B126" s="222"/>
      <c r="C126" s="131"/>
    </row>
    <row r="127" spans="1:3" x14ac:dyDescent="0.3">
      <c r="A127" s="296"/>
      <c r="B127" s="222"/>
      <c r="C127" s="131"/>
    </row>
    <row r="128" spans="1:3" x14ac:dyDescent="0.3">
      <c r="A128" s="290"/>
      <c r="B128" s="290"/>
      <c r="C128" s="291"/>
    </row>
    <row r="129" spans="1:3" x14ac:dyDescent="0.3">
      <c r="A129" s="290"/>
      <c r="B129" s="290"/>
      <c r="C129" s="292"/>
    </row>
    <row r="130" spans="1:3" x14ac:dyDescent="0.3">
      <c r="A130" s="223" t="s">
        <v>0</v>
      </c>
      <c r="B130" s="224" t="s">
        <v>104</v>
      </c>
      <c r="C130" s="225" t="s">
        <v>105</v>
      </c>
    </row>
    <row r="131" spans="1:3" x14ac:dyDescent="0.3">
      <c r="A131" s="185">
        <f>'Daily sales'!C73</f>
        <v>0</v>
      </c>
      <c r="B131" s="186">
        <f>tblSalesData673538[[#Totals],[Total income]]</f>
        <v>0</v>
      </c>
      <c r="C131" s="225">
        <f>tblSalesData673538[[#Totals],[Gross Profit]]</f>
        <v>0</v>
      </c>
    </row>
    <row r="132" spans="1:3" x14ac:dyDescent="0.3">
      <c r="A132" s="243"/>
      <c r="B132" s="241"/>
      <c r="C132" s="189">
        <f>SUBTOTAL(109,tblSalesData6516211318[Gross Profit])</f>
        <v>0</v>
      </c>
    </row>
    <row r="133" spans="1:3" ht="23.25" x14ac:dyDescent="0.3">
      <c r="A133" s="215"/>
      <c r="B133" s="228"/>
      <c r="C133" s="228"/>
    </row>
    <row r="134" spans="1:3" x14ac:dyDescent="0.3">
      <c r="A134" s="131"/>
      <c r="B134" s="229"/>
      <c r="C134" s="230"/>
    </row>
    <row r="135" spans="1:3" x14ac:dyDescent="0.3">
      <c r="A135" s="131"/>
      <c r="B135" s="231"/>
      <c r="C135" s="231"/>
    </row>
    <row r="136" spans="1:3" x14ac:dyDescent="0.3">
      <c r="A136" s="131"/>
      <c r="B136" s="231"/>
      <c r="C136" s="231"/>
    </row>
    <row r="137" spans="1:3" x14ac:dyDescent="0.3">
      <c r="A137" s="131"/>
      <c r="B137" s="293"/>
      <c r="C137" s="294"/>
    </row>
    <row r="138" spans="1:3" x14ac:dyDescent="0.3">
      <c r="A138" s="131"/>
      <c r="B138" s="293"/>
      <c r="C138" s="294"/>
    </row>
    <row r="139" spans="1:3" x14ac:dyDescent="0.3">
      <c r="A139" s="131"/>
      <c r="B139" s="232" t="s">
        <v>14</v>
      </c>
      <c r="C139" s="233" t="s">
        <v>9</v>
      </c>
    </row>
    <row r="140" spans="1:3" x14ac:dyDescent="0.3">
      <c r="A140" s="131"/>
      <c r="B140" s="234" t="str">
        <f>'Fixed materials registration'!B2</f>
        <v>Fixed materials Annual Deprciation cost per month</v>
      </c>
      <c r="C140" s="235">
        <f>tblSalesData8[[#Totals],[Monthly depriciation costs]]</f>
        <v>1188.7095238095239</v>
      </c>
    </row>
    <row r="141" spans="1:3" x14ac:dyDescent="0.3">
      <c r="A141" s="131"/>
      <c r="B141" s="236" t="str">
        <f>'Salary of employees'!B2</f>
        <v>Salary of employees &amp; labour costs</v>
      </c>
      <c r="C141" s="235">
        <f>tblSalesData894852[[#Totals],[Total payment]]</f>
        <v>0</v>
      </c>
    </row>
    <row r="142" spans="1:3" x14ac:dyDescent="0.3">
      <c r="A142" s="131"/>
      <c r="B142" s="234" t="str">
        <f>'Raw materials'!B2</f>
        <v>Raw materials</v>
      </c>
      <c r="C142" s="235">
        <f>tblSalesData8108286[[#Totals],[Monthly depreciation costs]]</f>
        <v>0</v>
      </c>
    </row>
    <row r="143" spans="1:3" x14ac:dyDescent="0.3">
      <c r="A143" s="131"/>
      <c r="B143" s="236" t="str">
        <f>Loan!B1</f>
        <v>Loan - Is not needed yet</v>
      </c>
      <c r="C143" s="233">
        <f>Loan!I13</f>
        <v>8274.5867939814816</v>
      </c>
    </row>
    <row r="144" spans="1:3" x14ac:dyDescent="0.3">
      <c r="A144" s="237"/>
      <c r="B144" s="238"/>
      <c r="C144" s="239">
        <f>SUBTOTAL(109,tblSalesData674201217[Total])</f>
        <v>9463.296317791006</v>
      </c>
    </row>
    <row r="145" spans="1:3" x14ac:dyDescent="0.3">
      <c r="A145" s="237"/>
      <c r="B145" s="237"/>
      <c r="C145" s="237"/>
    </row>
    <row r="146" spans="1:3" x14ac:dyDescent="0.3">
      <c r="A146" s="237"/>
      <c r="B146" s="229"/>
      <c r="C146" s="288">
        <f>tblSalesData6516211318[[#Totals],[Gross Profit]]-tblSalesData674201217[[#Totals],[Total]]</f>
        <v>-9463.296317791006</v>
      </c>
    </row>
    <row r="147" spans="1:3" x14ac:dyDescent="0.3">
      <c r="A147" s="237"/>
      <c r="B147" s="229"/>
      <c r="C147" s="288"/>
    </row>
    <row r="148" spans="1:3" x14ac:dyDescent="0.3">
      <c r="A148" s="237"/>
      <c r="B148" s="229"/>
      <c r="C148" s="288"/>
    </row>
    <row r="149" spans="1:3" x14ac:dyDescent="0.3">
      <c r="A149" s="131"/>
      <c r="B149" s="229"/>
      <c r="C149" s="230"/>
    </row>
    <row r="150" spans="1:3" x14ac:dyDescent="0.3">
      <c r="A150" s="295" t="s">
        <v>74</v>
      </c>
      <c r="B150" s="222"/>
      <c r="C150" s="131"/>
    </row>
    <row r="151" spans="1:3" x14ac:dyDescent="0.3">
      <c r="A151" s="296"/>
      <c r="B151" s="222"/>
      <c r="C151" s="131"/>
    </row>
    <row r="152" spans="1:3" x14ac:dyDescent="0.3">
      <c r="A152" s="290"/>
      <c r="B152" s="290"/>
      <c r="C152" s="291"/>
    </row>
    <row r="153" spans="1:3" x14ac:dyDescent="0.3">
      <c r="A153" s="290"/>
      <c r="B153" s="290"/>
      <c r="C153" s="292"/>
    </row>
    <row r="154" spans="1:3" x14ac:dyDescent="0.3">
      <c r="A154" s="223" t="s">
        <v>0</v>
      </c>
      <c r="B154" s="224" t="s">
        <v>104</v>
      </c>
      <c r="C154" s="225" t="s">
        <v>105</v>
      </c>
    </row>
    <row r="155" spans="1:3" x14ac:dyDescent="0.3">
      <c r="A155" s="185">
        <f>'Daily sales'!C80</f>
        <v>0</v>
      </c>
      <c r="B155" s="186">
        <f>tblSalesData67353639[[#Totals],[Total income]]</f>
        <v>0</v>
      </c>
      <c r="C155" s="225">
        <f>tblSalesData67353639[[#Totals],[Gross Profit]]</f>
        <v>0</v>
      </c>
    </row>
    <row r="156" spans="1:3" x14ac:dyDescent="0.3">
      <c r="A156" s="243"/>
      <c r="B156" s="241"/>
      <c r="C156" s="189">
        <f>SUBTOTAL(109,tblSalesData6516211122[Gross Profit])</f>
        <v>0</v>
      </c>
    </row>
    <row r="157" spans="1:3" ht="23.25" x14ac:dyDescent="0.3">
      <c r="A157" s="215"/>
      <c r="B157" s="228"/>
      <c r="C157" s="228"/>
    </row>
    <row r="158" spans="1:3" x14ac:dyDescent="0.3">
      <c r="A158" s="131"/>
      <c r="B158" s="229"/>
      <c r="C158" s="230"/>
    </row>
    <row r="159" spans="1:3" x14ac:dyDescent="0.3">
      <c r="A159" s="131"/>
      <c r="B159" s="231"/>
      <c r="C159" s="231"/>
    </row>
    <row r="160" spans="1:3" x14ac:dyDescent="0.3">
      <c r="A160" s="131"/>
      <c r="B160" s="231"/>
      <c r="C160" s="231"/>
    </row>
    <row r="161" spans="1:3" x14ac:dyDescent="0.3">
      <c r="A161" s="131"/>
      <c r="B161" s="293"/>
      <c r="C161" s="294"/>
    </row>
    <row r="162" spans="1:3" x14ac:dyDescent="0.3">
      <c r="A162" s="131"/>
      <c r="B162" s="293"/>
      <c r="C162" s="294"/>
    </row>
    <row r="163" spans="1:3" x14ac:dyDescent="0.3">
      <c r="A163" s="131"/>
      <c r="B163" s="232" t="s">
        <v>14</v>
      </c>
      <c r="C163" s="233" t="s">
        <v>9</v>
      </c>
    </row>
    <row r="164" spans="1:3" x14ac:dyDescent="0.3">
      <c r="A164" s="131"/>
      <c r="B164" s="234" t="str">
        <f>'Fixed materials registration'!B2</f>
        <v>Fixed materials Annual Deprciation cost per month</v>
      </c>
      <c r="C164" s="235">
        <f>tblSalesData8[[#Totals],[Monthly depriciation costs]]</f>
        <v>1188.7095238095239</v>
      </c>
    </row>
    <row r="165" spans="1:3" x14ac:dyDescent="0.3">
      <c r="A165" s="131"/>
      <c r="B165" s="236" t="str">
        <f>'Salary of employees'!B2</f>
        <v>Salary of employees &amp; labour costs</v>
      </c>
      <c r="C165" s="235">
        <f>tblSalesData8953[[#Totals],[Total payment]]</f>
        <v>0</v>
      </c>
    </row>
    <row r="166" spans="1:3" x14ac:dyDescent="0.3">
      <c r="A166" s="131"/>
      <c r="B166" s="234" t="str">
        <f>'Raw materials'!B2</f>
        <v>Raw materials</v>
      </c>
      <c r="C166" s="235">
        <f>tblSalesData8108387[[#Totals],[Monthly depreciation costs]]</f>
        <v>0</v>
      </c>
    </row>
    <row r="167" spans="1:3" x14ac:dyDescent="0.3">
      <c r="A167" s="131"/>
      <c r="B167" s="236" t="str">
        <f>Loan!B1</f>
        <v>Loan - Is not needed yet</v>
      </c>
      <c r="C167" s="233">
        <v>0</v>
      </c>
    </row>
    <row r="168" spans="1:3" x14ac:dyDescent="0.3">
      <c r="A168" s="237"/>
      <c r="B168" s="238"/>
      <c r="C168" s="239">
        <f>SUBTOTAL(109,tblSalesData67420519[Total])</f>
        <v>1188.7095238095239</v>
      </c>
    </row>
    <row r="169" spans="1:3" x14ac:dyDescent="0.3">
      <c r="A169" s="237"/>
      <c r="B169" s="237"/>
      <c r="C169" s="237"/>
    </row>
    <row r="170" spans="1:3" x14ac:dyDescent="0.3">
      <c r="A170" s="237"/>
      <c r="B170" s="229"/>
      <c r="C170" s="288">
        <f>tblSalesData6516211122[[#Totals],[Gross Profit]]-tblSalesData67420519[[#Totals],[Total]]</f>
        <v>-1188.7095238095239</v>
      </c>
    </row>
    <row r="171" spans="1:3" x14ac:dyDescent="0.3">
      <c r="A171" s="237"/>
      <c r="B171" s="229"/>
      <c r="C171" s="288"/>
    </row>
    <row r="172" spans="1:3" x14ac:dyDescent="0.3">
      <c r="A172" s="237"/>
      <c r="B172" s="229"/>
      <c r="C172" s="288"/>
    </row>
    <row r="173" spans="1:3" x14ac:dyDescent="0.3">
      <c r="A173" s="131"/>
      <c r="B173" s="229"/>
      <c r="C173" s="230"/>
    </row>
    <row r="174" spans="1:3" x14ac:dyDescent="0.3">
      <c r="A174" s="131"/>
      <c r="B174" s="229"/>
      <c r="C174" s="230"/>
    </row>
    <row r="175" spans="1:3" x14ac:dyDescent="0.3">
      <c r="A175" s="295" t="s">
        <v>75</v>
      </c>
      <c r="B175" s="222"/>
      <c r="C175" s="131"/>
    </row>
    <row r="176" spans="1:3" x14ac:dyDescent="0.3">
      <c r="A176" s="296"/>
      <c r="B176" s="222"/>
      <c r="C176" s="131"/>
    </row>
    <row r="177" spans="1:3" x14ac:dyDescent="0.3">
      <c r="A177" s="290"/>
      <c r="B177" s="290"/>
      <c r="C177" s="291"/>
    </row>
    <row r="178" spans="1:3" x14ac:dyDescent="0.3">
      <c r="A178" s="290"/>
      <c r="B178" s="290"/>
      <c r="C178" s="292"/>
    </row>
    <row r="179" spans="1:3" x14ac:dyDescent="0.3">
      <c r="A179" s="223" t="s">
        <v>0</v>
      </c>
      <c r="B179" s="224" t="s">
        <v>104</v>
      </c>
      <c r="C179" s="225" t="s">
        <v>105</v>
      </c>
    </row>
    <row r="180" spans="1:3" x14ac:dyDescent="0.3">
      <c r="A180" s="185">
        <f>'Daily sales'!C87</f>
        <v>0</v>
      </c>
      <c r="B180" s="186">
        <f>tblSalesData673740[[#Totals],[Total income]]</f>
        <v>0</v>
      </c>
      <c r="C180" s="225">
        <f>tblSalesData673740[[#Totals],[Gross Profit]]</f>
        <v>0</v>
      </c>
    </row>
    <row r="181" spans="1:3" x14ac:dyDescent="0.3">
      <c r="A181" s="243"/>
      <c r="B181" s="241"/>
      <c r="C181" s="189">
        <f>SUBTOTAL(109,tblSalesData6516211347[Gross Profit])</f>
        <v>0</v>
      </c>
    </row>
    <row r="182" spans="1:3" ht="23.25" x14ac:dyDescent="0.3">
      <c r="A182" s="215"/>
      <c r="B182" s="228"/>
      <c r="C182" s="228"/>
    </row>
    <row r="183" spans="1:3" x14ac:dyDescent="0.3">
      <c r="A183" s="131"/>
      <c r="B183" s="229"/>
      <c r="C183" s="230"/>
    </row>
    <row r="184" spans="1:3" x14ac:dyDescent="0.3">
      <c r="A184" s="131"/>
      <c r="B184" s="231"/>
      <c r="C184" s="231"/>
    </row>
    <row r="185" spans="1:3" x14ac:dyDescent="0.3">
      <c r="A185" s="131"/>
      <c r="B185" s="231"/>
      <c r="C185" s="231"/>
    </row>
    <row r="186" spans="1:3" x14ac:dyDescent="0.3">
      <c r="A186" s="131"/>
      <c r="B186" s="293"/>
      <c r="C186" s="294"/>
    </row>
    <row r="187" spans="1:3" x14ac:dyDescent="0.3">
      <c r="A187" s="131"/>
      <c r="B187" s="293"/>
      <c r="C187" s="294"/>
    </row>
    <row r="188" spans="1:3" x14ac:dyDescent="0.3">
      <c r="A188" s="131"/>
      <c r="B188" s="232" t="s">
        <v>14</v>
      </c>
      <c r="C188" s="233" t="s">
        <v>9</v>
      </c>
    </row>
    <row r="189" spans="1:3" x14ac:dyDescent="0.3">
      <c r="A189" s="131"/>
      <c r="B189" s="234" t="str">
        <f>'Fixed materials registration'!B2</f>
        <v>Fixed materials Annual Deprciation cost per month</v>
      </c>
      <c r="C189" s="235">
        <f>tblSalesData8[[#Totals],[Monthly depriciation costs]]</f>
        <v>1188.7095238095239</v>
      </c>
    </row>
    <row r="190" spans="1:3" x14ac:dyDescent="0.3">
      <c r="A190" s="131"/>
      <c r="B190" s="236" t="str">
        <f>'Salary of employees'!B2</f>
        <v>Salary of employees &amp; labour costs</v>
      </c>
      <c r="C190" s="235">
        <f>tblSalesData894854[[#Totals],[Total payment]]</f>
        <v>0</v>
      </c>
    </row>
    <row r="191" spans="1:3" x14ac:dyDescent="0.3">
      <c r="A191" s="131"/>
      <c r="B191" s="234" t="str">
        <f>'Raw materials'!B2</f>
        <v>Raw materials</v>
      </c>
      <c r="C191" s="235">
        <f>tblSalesData8108488[[#Totals],[Monthly depreciation costs]]</f>
        <v>0</v>
      </c>
    </row>
    <row r="192" spans="1:3" x14ac:dyDescent="0.3">
      <c r="A192" s="131"/>
      <c r="B192" s="236" t="str">
        <f>Loan!B1</f>
        <v>Loan - Is not needed yet</v>
      </c>
      <c r="C192" s="233">
        <v>0</v>
      </c>
    </row>
    <row r="193" spans="1:3" x14ac:dyDescent="0.3">
      <c r="A193" s="237"/>
      <c r="B193" s="238"/>
      <c r="C193" s="239">
        <f>SUBTOTAL(109,tblSalesData674201246[Total])</f>
        <v>1188.7095238095239</v>
      </c>
    </row>
    <row r="194" spans="1:3" x14ac:dyDescent="0.3">
      <c r="A194" s="237"/>
      <c r="B194" s="237"/>
      <c r="C194" s="237"/>
    </row>
    <row r="195" spans="1:3" x14ac:dyDescent="0.3">
      <c r="A195" s="237"/>
      <c r="B195" s="229"/>
      <c r="C195" s="288">
        <f>tblSalesData6516211347[[#Totals],[Gross Profit]]-tblSalesData674201246[[#Totals],[Total]]</f>
        <v>-1188.7095238095239</v>
      </c>
    </row>
    <row r="196" spans="1:3" x14ac:dyDescent="0.3">
      <c r="A196" s="237"/>
      <c r="B196" s="229"/>
      <c r="C196" s="288"/>
    </row>
    <row r="197" spans="1:3" x14ac:dyDescent="0.3">
      <c r="A197" s="237"/>
      <c r="B197" s="229"/>
      <c r="C197" s="288"/>
    </row>
    <row r="198" spans="1:3" x14ac:dyDescent="0.3">
      <c r="A198" s="131"/>
      <c r="B198" s="229"/>
      <c r="C198" s="230"/>
    </row>
    <row r="199" spans="1:3" x14ac:dyDescent="0.3">
      <c r="A199" s="295" t="s">
        <v>76</v>
      </c>
      <c r="B199" s="222"/>
      <c r="C199" s="131"/>
    </row>
    <row r="200" spans="1:3" x14ac:dyDescent="0.3">
      <c r="A200" s="296"/>
      <c r="B200" s="222"/>
      <c r="C200" s="131"/>
    </row>
    <row r="201" spans="1:3" x14ac:dyDescent="0.3">
      <c r="A201" s="290"/>
      <c r="B201" s="290"/>
      <c r="C201" s="291"/>
    </row>
    <row r="202" spans="1:3" x14ac:dyDescent="0.3">
      <c r="A202" s="290"/>
      <c r="B202" s="290"/>
      <c r="C202" s="292"/>
    </row>
    <row r="203" spans="1:3" x14ac:dyDescent="0.3">
      <c r="A203" s="223" t="s">
        <v>0</v>
      </c>
      <c r="B203" s="224" t="s">
        <v>104</v>
      </c>
      <c r="C203" s="225" t="s">
        <v>105</v>
      </c>
    </row>
    <row r="204" spans="1:3" x14ac:dyDescent="0.3">
      <c r="A204" s="185" t="e">
        <f>'Daily sales'!#REF!</f>
        <v>#REF!</v>
      </c>
      <c r="B204" s="186">
        <f>tblSalesData67353841[[#Totals],[Total income]]</f>
        <v>0</v>
      </c>
      <c r="C204" s="225">
        <f>tblSalesData67353841[[#Totals],[Gross Profit]]</f>
        <v>0</v>
      </c>
    </row>
    <row r="205" spans="1:3" x14ac:dyDescent="0.3">
      <c r="A205" s="243"/>
      <c r="B205" s="241"/>
      <c r="C205" s="189">
        <f>SUBTOTAL(109,tblSalesData6516211161[Gross Profit])</f>
        <v>0</v>
      </c>
    </row>
    <row r="206" spans="1:3" ht="23.25" x14ac:dyDescent="0.3">
      <c r="A206" s="215"/>
      <c r="B206" s="228"/>
      <c r="C206" s="228"/>
    </row>
    <row r="207" spans="1:3" x14ac:dyDescent="0.3">
      <c r="A207" s="131"/>
      <c r="B207" s="229"/>
      <c r="C207" s="230"/>
    </row>
    <row r="208" spans="1:3" x14ac:dyDescent="0.3">
      <c r="A208" s="131"/>
      <c r="B208" s="231"/>
      <c r="C208" s="231"/>
    </row>
    <row r="209" spans="1:3" x14ac:dyDescent="0.3">
      <c r="A209" s="131"/>
      <c r="B209" s="231"/>
      <c r="C209" s="231"/>
    </row>
    <row r="210" spans="1:3" x14ac:dyDescent="0.3">
      <c r="A210" s="131"/>
      <c r="B210" s="293"/>
      <c r="C210" s="294"/>
    </row>
    <row r="211" spans="1:3" x14ac:dyDescent="0.3">
      <c r="A211" s="131"/>
      <c r="B211" s="293"/>
      <c r="C211" s="294"/>
    </row>
    <row r="212" spans="1:3" x14ac:dyDescent="0.3">
      <c r="A212" s="131"/>
      <c r="B212" s="232" t="s">
        <v>14</v>
      </c>
      <c r="C212" s="233" t="s">
        <v>9</v>
      </c>
    </row>
    <row r="213" spans="1:3" x14ac:dyDescent="0.3">
      <c r="A213" s="131"/>
      <c r="B213" s="234" t="str">
        <f>'Fixed materials registration'!B2</f>
        <v>Fixed materials Annual Deprciation cost per month</v>
      </c>
      <c r="C213" s="235">
        <f>tblSalesData8[[#Totals],[Monthly depriciation costs]]</f>
        <v>1188.7095238095239</v>
      </c>
    </row>
    <row r="214" spans="1:3" x14ac:dyDescent="0.3">
      <c r="A214" s="131"/>
      <c r="B214" s="236" t="str">
        <f>'Salary of employees'!B2</f>
        <v>Salary of employees &amp; labour costs</v>
      </c>
      <c r="C214" s="235">
        <f>tblSalesData894955[[#Totals],[Total payment]]</f>
        <v>0</v>
      </c>
    </row>
    <row r="215" spans="1:3" x14ac:dyDescent="0.3">
      <c r="A215" s="131"/>
      <c r="B215" s="234" t="str">
        <f>'Raw materials'!B2</f>
        <v>Raw materials</v>
      </c>
      <c r="C215" s="235">
        <f>tblSalesData81089[[#Totals],[Monthly depreciation costs]]</f>
        <v>0</v>
      </c>
    </row>
    <row r="216" spans="1:3" x14ac:dyDescent="0.3">
      <c r="A216" s="131"/>
      <c r="B216" s="236" t="str">
        <f>Loan!B1</f>
        <v>Loan - Is not needed yet</v>
      </c>
      <c r="C216" s="233">
        <v>0</v>
      </c>
    </row>
    <row r="217" spans="1:3" x14ac:dyDescent="0.3">
      <c r="A217" s="237"/>
      <c r="B217" s="238"/>
      <c r="C217" s="239">
        <f>SUBTOTAL(109,tblSalesData67420560[Total])</f>
        <v>1188.7095238095239</v>
      </c>
    </row>
    <row r="218" spans="1:3" x14ac:dyDescent="0.3">
      <c r="A218" s="237"/>
      <c r="B218" s="237"/>
      <c r="C218" s="237"/>
    </row>
    <row r="219" spans="1:3" x14ac:dyDescent="0.3">
      <c r="A219" s="237"/>
      <c r="B219" s="229"/>
      <c r="C219" s="288">
        <f>tblSalesData6516211161[[#Totals],[Gross Profit]]-tblSalesData67420560[[#Totals],[Total]]</f>
        <v>-1188.7095238095239</v>
      </c>
    </row>
    <row r="220" spans="1:3" x14ac:dyDescent="0.3">
      <c r="A220" s="237"/>
      <c r="B220" s="229"/>
      <c r="C220" s="288"/>
    </row>
    <row r="221" spans="1:3" x14ac:dyDescent="0.3">
      <c r="A221" s="237"/>
      <c r="B221" s="229"/>
      <c r="C221" s="288"/>
    </row>
    <row r="222" spans="1:3" x14ac:dyDescent="0.3">
      <c r="A222" s="131"/>
      <c r="B222" s="229"/>
      <c r="C222" s="230"/>
    </row>
    <row r="223" spans="1:3" x14ac:dyDescent="0.3">
      <c r="A223" s="131"/>
      <c r="B223" s="229"/>
      <c r="C223" s="230"/>
    </row>
    <row r="224" spans="1:3" x14ac:dyDescent="0.3">
      <c r="A224" s="295" t="s">
        <v>77</v>
      </c>
      <c r="B224" s="222"/>
      <c r="C224" s="131"/>
    </row>
    <row r="225" spans="1:3" x14ac:dyDescent="0.3">
      <c r="A225" s="296"/>
      <c r="B225" s="222"/>
      <c r="C225" s="131"/>
    </row>
    <row r="226" spans="1:3" x14ac:dyDescent="0.3">
      <c r="A226" s="290"/>
      <c r="B226" s="290"/>
      <c r="C226" s="291"/>
    </row>
    <row r="227" spans="1:3" x14ac:dyDescent="0.3">
      <c r="A227" s="290"/>
      <c r="B227" s="290"/>
      <c r="C227" s="292"/>
    </row>
    <row r="228" spans="1:3" x14ac:dyDescent="0.3">
      <c r="A228" s="223" t="s">
        <v>0</v>
      </c>
      <c r="B228" s="224" t="s">
        <v>104</v>
      </c>
      <c r="C228" s="225" t="s">
        <v>105</v>
      </c>
    </row>
    <row r="229" spans="1:3" x14ac:dyDescent="0.3">
      <c r="A229" s="185">
        <f>'Daily sales'!C95</f>
        <v>0</v>
      </c>
      <c r="B229" s="186">
        <f>tblSalesData67353842[[#Totals],[Total income]]</f>
        <v>0</v>
      </c>
      <c r="C229" s="225">
        <f>tblSalesData67353842[[#Totals],[Gross Profit]]</f>
        <v>0</v>
      </c>
    </row>
    <row r="230" spans="1:3" x14ac:dyDescent="0.3">
      <c r="A230" s="243"/>
      <c r="B230" s="241"/>
      <c r="C230" s="189">
        <f>SUBTOTAL(109,tblSalesData6516211363[Gross Profit])</f>
        <v>0</v>
      </c>
    </row>
    <row r="231" spans="1:3" ht="23.25" x14ac:dyDescent="0.3">
      <c r="A231" s="215"/>
      <c r="B231" s="228"/>
      <c r="C231" s="228"/>
    </row>
    <row r="232" spans="1:3" x14ac:dyDescent="0.3">
      <c r="A232" s="131"/>
      <c r="B232" s="229"/>
      <c r="C232" s="230"/>
    </row>
    <row r="233" spans="1:3" x14ac:dyDescent="0.3">
      <c r="A233" s="131"/>
      <c r="B233" s="231"/>
      <c r="C233" s="231"/>
    </row>
    <row r="234" spans="1:3" x14ac:dyDescent="0.3">
      <c r="A234" s="131"/>
      <c r="B234" s="231"/>
      <c r="C234" s="231"/>
    </row>
    <row r="235" spans="1:3" x14ac:dyDescent="0.3">
      <c r="A235" s="131"/>
      <c r="B235" s="293"/>
      <c r="C235" s="294"/>
    </row>
    <row r="236" spans="1:3" x14ac:dyDescent="0.3">
      <c r="A236" s="131"/>
      <c r="B236" s="293"/>
      <c r="C236" s="294"/>
    </row>
    <row r="237" spans="1:3" x14ac:dyDescent="0.3">
      <c r="A237" s="131"/>
      <c r="B237" s="232" t="s">
        <v>14</v>
      </c>
      <c r="C237" s="233" t="s">
        <v>9</v>
      </c>
    </row>
    <row r="238" spans="1:3" x14ac:dyDescent="0.3">
      <c r="A238" s="131"/>
      <c r="B238" s="234" t="str">
        <f>'Fixed materials registration'!B2</f>
        <v>Fixed materials Annual Deprciation cost per month</v>
      </c>
      <c r="C238" s="235">
        <f>tblSalesData8[[#Totals],[Monthly depriciation costs]]</f>
        <v>1188.7095238095239</v>
      </c>
    </row>
    <row r="239" spans="1:3" x14ac:dyDescent="0.3">
      <c r="A239" s="131"/>
      <c r="B239" s="236" t="str">
        <f>'Salary of employees'!B2</f>
        <v>Salary of employees &amp; labour costs</v>
      </c>
      <c r="C239" s="235">
        <f>tblSalesData89485056[[#Totals],[Total payment]]</f>
        <v>0</v>
      </c>
    </row>
    <row r="240" spans="1:3" x14ac:dyDescent="0.3">
      <c r="A240" s="131"/>
      <c r="B240" s="234" t="str">
        <f>'Raw materials'!B2</f>
        <v>Raw materials</v>
      </c>
      <c r="C240" s="235">
        <f>tblSalesData8108290[[#Totals],[Monthly depreciation costs]]</f>
        <v>0</v>
      </c>
    </row>
    <row r="241" spans="1:3" x14ac:dyDescent="0.3">
      <c r="A241" s="131"/>
      <c r="B241" s="236" t="str">
        <f>Loan!B1</f>
        <v>Loan - Is not needed yet</v>
      </c>
      <c r="C241" s="233">
        <v>0</v>
      </c>
    </row>
    <row r="242" spans="1:3" x14ac:dyDescent="0.3">
      <c r="A242" s="237"/>
      <c r="B242" s="238"/>
      <c r="C242" s="239">
        <f>SUBTOTAL(109,tblSalesData674201262[Total])</f>
        <v>1188.7095238095239</v>
      </c>
    </row>
    <row r="243" spans="1:3" x14ac:dyDescent="0.3">
      <c r="A243" s="237"/>
      <c r="B243" s="237"/>
      <c r="C243" s="237"/>
    </row>
    <row r="244" spans="1:3" x14ac:dyDescent="0.3">
      <c r="A244" s="237"/>
      <c r="B244" s="229"/>
      <c r="C244" s="288">
        <f>tblSalesData6516211363[[#Totals],[Gross Profit]]-tblSalesData674201262[[#Totals],[Total]]</f>
        <v>-1188.7095238095239</v>
      </c>
    </row>
    <row r="245" spans="1:3" x14ac:dyDescent="0.3">
      <c r="A245" s="237"/>
      <c r="B245" s="229"/>
      <c r="C245" s="288"/>
    </row>
    <row r="246" spans="1:3" x14ac:dyDescent="0.3">
      <c r="A246" s="237"/>
      <c r="B246" s="229"/>
      <c r="C246" s="288"/>
    </row>
    <row r="247" spans="1:3" x14ac:dyDescent="0.3">
      <c r="A247" s="131"/>
      <c r="B247" s="229"/>
      <c r="C247" s="230"/>
    </row>
    <row r="248" spans="1:3" x14ac:dyDescent="0.3">
      <c r="A248" s="295" t="s">
        <v>78</v>
      </c>
      <c r="B248" s="222"/>
      <c r="C248" s="131"/>
    </row>
    <row r="249" spans="1:3" x14ac:dyDescent="0.3">
      <c r="A249" s="296"/>
      <c r="B249" s="222"/>
      <c r="C249" s="131"/>
    </row>
    <row r="250" spans="1:3" x14ac:dyDescent="0.3">
      <c r="A250" s="290"/>
      <c r="B250" s="290"/>
      <c r="C250" s="291"/>
    </row>
    <row r="251" spans="1:3" x14ac:dyDescent="0.3">
      <c r="A251" s="290"/>
      <c r="B251" s="290"/>
      <c r="C251" s="292"/>
    </row>
    <row r="252" spans="1:3" x14ac:dyDescent="0.3">
      <c r="A252" s="223" t="s">
        <v>0</v>
      </c>
      <c r="B252" s="224" t="s">
        <v>104</v>
      </c>
      <c r="C252" s="225" t="s">
        <v>105</v>
      </c>
    </row>
    <row r="253" spans="1:3" x14ac:dyDescent="0.3">
      <c r="A253" s="185">
        <f>'Daily sales'!C101</f>
        <v>0</v>
      </c>
      <c r="B253" s="186">
        <f>tblSalesData6735363943[[#Totals],[Total income]]</f>
        <v>0</v>
      </c>
      <c r="C253" s="225">
        <f>tblSalesData6735363943[[#Totals],[Gross Profit]]</f>
        <v>0</v>
      </c>
    </row>
    <row r="254" spans="1:3" x14ac:dyDescent="0.3">
      <c r="A254" s="243"/>
      <c r="B254" s="241"/>
      <c r="C254" s="189">
        <f>SUBTOTAL(109,tblSalesData6516211165[Gross Profit])</f>
        <v>0</v>
      </c>
    </row>
    <row r="255" spans="1:3" ht="23.25" x14ac:dyDescent="0.3">
      <c r="A255" s="215"/>
      <c r="B255" s="228"/>
      <c r="C255" s="228"/>
    </row>
    <row r="256" spans="1:3" x14ac:dyDescent="0.3">
      <c r="A256" s="131"/>
      <c r="B256" s="229"/>
      <c r="C256" s="230"/>
    </row>
    <row r="257" spans="1:3" x14ac:dyDescent="0.3">
      <c r="A257" s="131"/>
      <c r="B257" s="231"/>
      <c r="C257" s="231"/>
    </row>
    <row r="258" spans="1:3" x14ac:dyDescent="0.3">
      <c r="A258" s="131"/>
      <c r="B258" s="231"/>
      <c r="C258" s="231"/>
    </row>
    <row r="259" spans="1:3" x14ac:dyDescent="0.3">
      <c r="A259" s="131"/>
      <c r="B259" s="293"/>
      <c r="C259" s="294"/>
    </row>
    <row r="260" spans="1:3" x14ac:dyDescent="0.3">
      <c r="A260" s="131"/>
      <c r="B260" s="293"/>
      <c r="C260" s="294"/>
    </row>
    <row r="261" spans="1:3" x14ac:dyDescent="0.3">
      <c r="A261" s="131"/>
      <c r="B261" s="232" t="s">
        <v>14</v>
      </c>
      <c r="C261" s="233" t="s">
        <v>9</v>
      </c>
    </row>
    <row r="262" spans="1:3" x14ac:dyDescent="0.3">
      <c r="A262" s="131"/>
      <c r="B262" s="234" t="str">
        <f>'Fixed materials registration'!B2</f>
        <v>Fixed materials Annual Deprciation cost per month</v>
      </c>
      <c r="C262" s="235">
        <f>tblSalesData8[[#Totals],[Monthly depriciation costs]]</f>
        <v>1188.7095238095239</v>
      </c>
    </row>
    <row r="263" spans="1:3" x14ac:dyDescent="0.3">
      <c r="A263" s="131"/>
      <c r="B263" s="236" t="str">
        <f>'Salary of employees'!B2</f>
        <v>Salary of employees &amp; labour costs</v>
      </c>
      <c r="C263" s="235">
        <f>tblSalesData895157[[#Totals],[Total payment]]</f>
        <v>0</v>
      </c>
    </row>
    <row r="264" spans="1:3" x14ac:dyDescent="0.3">
      <c r="A264" s="131"/>
      <c r="B264" s="234" t="str">
        <f>'Raw materials'!B2</f>
        <v>Raw materials</v>
      </c>
      <c r="C264" s="235">
        <f>tblSalesData8108391[[#Totals],[Monthly depreciation costs]]</f>
        <v>0</v>
      </c>
    </row>
    <row r="265" spans="1:3" x14ac:dyDescent="0.3">
      <c r="A265" s="131"/>
      <c r="B265" s="236" t="str">
        <f>Loan!B1</f>
        <v>Loan - Is not needed yet</v>
      </c>
      <c r="C265" s="233">
        <f>tblSalesData893[[#Totals],[Monthly payment]]</f>
        <v>98629.914456753613</v>
      </c>
    </row>
    <row r="266" spans="1:3" x14ac:dyDescent="0.3">
      <c r="A266" s="237"/>
      <c r="B266" s="238"/>
      <c r="C266" s="239">
        <f>SUBTOTAL(109,tblSalesData67420564[Total])</f>
        <v>99818.623980563134</v>
      </c>
    </row>
    <row r="267" spans="1:3" x14ac:dyDescent="0.3">
      <c r="A267" s="237"/>
      <c r="B267" s="237"/>
      <c r="C267" s="237"/>
    </row>
    <row r="268" spans="1:3" x14ac:dyDescent="0.3">
      <c r="A268" s="237"/>
      <c r="B268" s="229"/>
      <c r="C268" s="288">
        <v>0</v>
      </c>
    </row>
    <row r="269" spans="1:3" x14ac:dyDescent="0.3">
      <c r="A269" s="237"/>
      <c r="B269" s="229"/>
      <c r="C269" s="288"/>
    </row>
    <row r="270" spans="1:3" x14ac:dyDescent="0.3">
      <c r="A270" s="237"/>
      <c r="B270" s="229"/>
      <c r="C270" s="288"/>
    </row>
    <row r="271" spans="1:3" x14ac:dyDescent="0.3">
      <c r="A271" s="131"/>
      <c r="B271" s="229"/>
      <c r="C271" s="230"/>
    </row>
    <row r="272" spans="1:3" x14ac:dyDescent="0.3">
      <c r="A272" s="131"/>
      <c r="B272" s="229"/>
      <c r="C272" s="230"/>
    </row>
    <row r="273" spans="1:3" x14ac:dyDescent="0.3">
      <c r="A273" s="295" t="s">
        <v>79</v>
      </c>
      <c r="B273" s="222"/>
      <c r="C273" s="131"/>
    </row>
    <row r="274" spans="1:3" x14ac:dyDescent="0.3">
      <c r="A274" s="296"/>
      <c r="B274" s="222"/>
      <c r="C274" s="131"/>
    </row>
    <row r="275" spans="1:3" x14ac:dyDescent="0.3">
      <c r="A275" s="290"/>
      <c r="B275" s="290"/>
      <c r="C275" s="291"/>
    </row>
    <row r="276" spans="1:3" x14ac:dyDescent="0.3">
      <c r="A276" s="290"/>
      <c r="B276" s="290"/>
      <c r="C276" s="292"/>
    </row>
    <row r="277" spans="1:3" x14ac:dyDescent="0.3">
      <c r="A277" s="223" t="s">
        <v>0</v>
      </c>
      <c r="B277" s="224" t="s">
        <v>104</v>
      </c>
      <c r="C277" s="225" t="s">
        <v>105</v>
      </c>
    </row>
    <row r="278" spans="1:3" x14ac:dyDescent="0.3">
      <c r="A278" s="185" t="e">
        <f>'Daily sales'!#REF!</f>
        <v>#REF!</v>
      </c>
      <c r="B278" s="186">
        <f>tblSalesData67374044[[#Totals],[Total income]]</f>
        <v>0</v>
      </c>
      <c r="C278" s="225">
        <f>tblSalesData67374044[[#Totals],[Gross Profit]]</f>
        <v>0</v>
      </c>
    </row>
    <row r="279" spans="1:3" x14ac:dyDescent="0.3">
      <c r="A279" s="243"/>
      <c r="B279" s="241"/>
      <c r="C279" s="189">
        <f>SUBTOTAL(109,tblSalesData6516211367[Gross Profit])</f>
        <v>0</v>
      </c>
    </row>
    <row r="280" spans="1:3" ht="23.25" x14ac:dyDescent="0.3">
      <c r="A280" s="215"/>
      <c r="B280" s="228"/>
      <c r="C280" s="228"/>
    </row>
    <row r="281" spans="1:3" x14ac:dyDescent="0.3">
      <c r="A281" s="131"/>
      <c r="B281" s="229"/>
      <c r="C281" s="230"/>
    </row>
    <row r="282" spans="1:3" x14ac:dyDescent="0.3">
      <c r="A282" s="131"/>
      <c r="B282" s="231"/>
      <c r="C282" s="231"/>
    </row>
    <row r="283" spans="1:3" x14ac:dyDescent="0.3">
      <c r="A283" s="131"/>
      <c r="B283" s="231"/>
      <c r="C283" s="231"/>
    </row>
    <row r="284" spans="1:3" x14ac:dyDescent="0.3">
      <c r="A284" s="131"/>
      <c r="B284" s="293"/>
      <c r="C284" s="294"/>
    </row>
    <row r="285" spans="1:3" x14ac:dyDescent="0.3">
      <c r="A285" s="131"/>
      <c r="B285" s="293"/>
      <c r="C285" s="294"/>
    </row>
    <row r="286" spans="1:3" x14ac:dyDescent="0.3">
      <c r="A286" s="131"/>
      <c r="B286" s="232" t="s">
        <v>14</v>
      </c>
      <c r="C286" s="233" t="s">
        <v>9</v>
      </c>
    </row>
    <row r="287" spans="1:3" x14ac:dyDescent="0.3">
      <c r="A287" s="131"/>
      <c r="B287" s="234" t="str">
        <f>'Fixed materials registration'!B2</f>
        <v>Fixed materials Annual Deprciation cost per month</v>
      </c>
      <c r="C287" s="235">
        <f>tblSalesData8[[#Totals],[Monthly depriciation costs]]</f>
        <v>1188.7095238095239</v>
      </c>
    </row>
    <row r="288" spans="1:3" x14ac:dyDescent="0.3">
      <c r="A288" s="131"/>
      <c r="B288" s="236" t="str">
        <f>'Salary of employees'!B2</f>
        <v>Salary of employees &amp; labour costs</v>
      </c>
      <c r="C288" s="235">
        <f>tblSalesData89485258[[#Totals],[Total payment]]</f>
        <v>0</v>
      </c>
    </row>
    <row r="289" spans="1:3" x14ac:dyDescent="0.3">
      <c r="A289" s="131"/>
      <c r="B289" s="234" t="str">
        <f>'Raw materials'!B2</f>
        <v>Raw materials</v>
      </c>
      <c r="C289" s="235">
        <f>tblSalesData8108492[[#Totals],[Monthly depreciation costs]]</f>
        <v>0</v>
      </c>
    </row>
    <row r="290" spans="1:3" x14ac:dyDescent="0.3">
      <c r="A290" s="131"/>
      <c r="B290" s="236" t="str">
        <f>Loan!B1</f>
        <v>Loan - Is not needed yet</v>
      </c>
      <c r="C290" s="233">
        <v>0</v>
      </c>
    </row>
    <row r="291" spans="1:3" x14ac:dyDescent="0.3">
      <c r="A291" s="237"/>
      <c r="B291" s="238"/>
      <c r="C291" s="239">
        <f>SUBTOTAL(109,tblSalesData674201266[Total])</f>
        <v>1188.7095238095239</v>
      </c>
    </row>
    <row r="292" spans="1:3" x14ac:dyDescent="0.3">
      <c r="A292" s="237"/>
      <c r="B292" s="237"/>
      <c r="C292" s="237"/>
    </row>
    <row r="293" spans="1:3" x14ac:dyDescent="0.3">
      <c r="A293" s="237"/>
      <c r="B293" s="229"/>
      <c r="C293" s="288">
        <f>tblSalesData6516211367[[#Totals],[Gross Profit]]-tblSalesData674201266[[#Totals],[Total]]</f>
        <v>-1188.7095238095239</v>
      </c>
    </row>
    <row r="294" spans="1:3" x14ac:dyDescent="0.3">
      <c r="A294" s="237"/>
      <c r="B294" s="229"/>
      <c r="C294" s="288"/>
    </row>
    <row r="295" spans="1:3" x14ac:dyDescent="0.3">
      <c r="A295" s="237"/>
      <c r="B295" s="229"/>
      <c r="C295" s="288"/>
    </row>
    <row r="296" spans="1:3" x14ac:dyDescent="0.3">
      <c r="A296" s="131"/>
      <c r="B296" s="229"/>
      <c r="C296" s="230"/>
    </row>
    <row r="297" spans="1:3" x14ac:dyDescent="0.3">
      <c r="A297" s="131"/>
      <c r="B297" s="229"/>
      <c r="C297" s="230"/>
    </row>
  </sheetData>
  <sheetProtection password="CF7A" sheet="1" objects="1" scenarios="1" sort="0"/>
  <mergeCells count="82">
    <mergeCell ref="C293:C295"/>
    <mergeCell ref="C268:C270"/>
    <mergeCell ref="A273:A274"/>
    <mergeCell ref="A275:B276"/>
    <mergeCell ref="C275:C276"/>
    <mergeCell ref="B284:B285"/>
    <mergeCell ref="C284:C285"/>
    <mergeCell ref="A250:B251"/>
    <mergeCell ref="C250:C251"/>
    <mergeCell ref="B259:B260"/>
    <mergeCell ref="C259:C260"/>
    <mergeCell ref="C219:C221"/>
    <mergeCell ref="A224:A225"/>
    <mergeCell ref="A226:B227"/>
    <mergeCell ref="C226:C227"/>
    <mergeCell ref="B235:B236"/>
    <mergeCell ref="C235:C236"/>
    <mergeCell ref="C244:C246"/>
    <mergeCell ref="A248:A249"/>
    <mergeCell ref="C195:C197"/>
    <mergeCell ref="A199:A200"/>
    <mergeCell ref="A201:B202"/>
    <mergeCell ref="C201:C202"/>
    <mergeCell ref="B210:B211"/>
    <mergeCell ref="C210:C211"/>
    <mergeCell ref="C170:C172"/>
    <mergeCell ref="A175:A176"/>
    <mergeCell ref="A177:B178"/>
    <mergeCell ref="C177:C178"/>
    <mergeCell ref="B186:B187"/>
    <mergeCell ref="C186:C187"/>
    <mergeCell ref="C146:C148"/>
    <mergeCell ref="A150:A151"/>
    <mergeCell ref="A152:B153"/>
    <mergeCell ref="C152:C153"/>
    <mergeCell ref="B161:B162"/>
    <mergeCell ref="C161:C162"/>
    <mergeCell ref="C121:C123"/>
    <mergeCell ref="A126:A127"/>
    <mergeCell ref="A128:B129"/>
    <mergeCell ref="C128:C129"/>
    <mergeCell ref="B137:B138"/>
    <mergeCell ref="C137:C138"/>
    <mergeCell ref="C97:C99"/>
    <mergeCell ref="A101:A102"/>
    <mergeCell ref="A103:B104"/>
    <mergeCell ref="C103:C104"/>
    <mergeCell ref="B112:B113"/>
    <mergeCell ref="C112:C113"/>
    <mergeCell ref="A77:A78"/>
    <mergeCell ref="A79:B80"/>
    <mergeCell ref="C79:C80"/>
    <mergeCell ref="B88:B89"/>
    <mergeCell ref="C88:C89"/>
    <mergeCell ref="A28:A29"/>
    <mergeCell ref="C48:C50"/>
    <mergeCell ref="B39:B40"/>
    <mergeCell ref="E48:E50"/>
    <mergeCell ref="A6:A7"/>
    <mergeCell ref="B6:B7"/>
    <mergeCell ref="D30:E33"/>
    <mergeCell ref="C39:C40"/>
    <mergeCell ref="C15:C16"/>
    <mergeCell ref="C24:C26"/>
    <mergeCell ref="C6:C7"/>
    <mergeCell ref="D6:E9"/>
    <mergeCell ref="C30:C31"/>
    <mergeCell ref="E24:E26"/>
    <mergeCell ref="E19:E21"/>
    <mergeCell ref="B15:B16"/>
    <mergeCell ref="A54:B55"/>
    <mergeCell ref="A30:B31"/>
    <mergeCell ref="C54:C55"/>
    <mergeCell ref="B63:B64"/>
    <mergeCell ref="C63:C64"/>
    <mergeCell ref="A52:A53"/>
    <mergeCell ref="F19:F21"/>
    <mergeCell ref="G6:H7"/>
    <mergeCell ref="G11:G12"/>
    <mergeCell ref="E70:E72"/>
    <mergeCell ref="C72:C74"/>
    <mergeCell ref="F8:F9"/>
  </mergeCells>
  <pageMargins left="0.7" right="0.7" top="0.75" bottom="0.75" header="0.3" footer="0.3"/>
  <pageSetup paperSize="9" orientation="portrait" r:id="rId1"/>
  <drawing r:id="rId2"/>
  <tableParts count="24">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4531B1-4879-46EE-A361-F8B69F34CC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Data sheet</vt:lpstr>
      <vt:lpstr>Instruction</vt:lpstr>
      <vt:lpstr>Daily sales</vt:lpstr>
      <vt:lpstr>Monthly sales</vt:lpstr>
      <vt:lpstr>Fixed materials registration</vt:lpstr>
      <vt:lpstr>Raw materials</vt:lpstr>
      <vt:lpstr>Salary of employees</vt:lpstr>
      <vt:lpstr>Loan</vt:lpstr>
      <vt:lpstr>Profit sheet</vt:lpstr>
      <vt:lpstr>Graphs</vt:lpstr>
      <vt:lpstr>Instruction!OLE_LINK1</vt:lpstr>
      <vt:lpstr>'Daily sales'!Print_Area</vt:lpstr>
      <vt:lpstr>'Daily sales'!Print_Titles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 Naveed Ahmed</dc:creator>
  <cp:lastModifiedBy>user pc</cp:lastModifiedBy>
  <cp:lastPrinted>2015-10-09T13:25:37Z</cp:lastPrinted>
  <dcterms:created xsi:type="dcterms:W3CDTF">2014-08-26T09:09:19Z</dcterms:created>
  <dcterms:modified xsi:type="dcterms:W3CDTF">2019-12-31T05:37:37Z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TC031076419991</vt:lpwstr>
  </property>
</Properties>
</file>