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a_didar\Dropbox\PC\Documents\SHARE\Pricing Critical Illness Insurance from Prevalence\"/>
    </mc:Choice>
  </mc:AlternateContent>
  <xr:revisionPtr revIDLastSave="0" documentId="13_ncr:1_{F86A35DE-8ABE-49EB-B9A8-A783410107FE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Foglio1" sheetId="1" r:id="rId1"/>
    <sheet name="data" sheetId="2" r:id="rId2"/>
    <sheet name="1_A.CI" sheetId="3" r:id="rId3"/>
  </sheets>
  <definedNames>
    <definedName name="b1h">'1_A.CI'!$B$5</definedName>
    <definedName name="b2h">'1_A.CI'!$B$6</definedName>
    <definedName name="Delta">'1_A.CI'!$B$2</definedName>
    <definedName name="gamma">'1_A.CI'!$B$3</definedName>
    <definedName name="N">'1_A.CI'!$B$8</definedName>
    <definedName name="x">'1_A.CI'!$B$9</definedName>
  </definedNames>
  <calcPr calcId="191029" iterateCount="10000" iterateDelta="9.9999999999999995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6" i="1" l="1"/>
  <c r="AA7" i="1" l="1"/>
  <c r="Z6" i="1"/>
  <c r="N4" i="3"/>
  <c r="N5" i="3"/>
  <c r="N6" i="3"/>
  <c r="N7" i="3"/>
  <c r="N8" i="3"/>
  <c r="N9" i="3"/>
  <c r="N10" i="3"/>
  <c r="N11" i="3"/>
  <c r="N12" i="3"/>
  <c r="N3" i="3"/>
  <c r="M3" i="3"/>
  <c r="M4" i="3"/>
  <c r="M5" i="3"/>
  <c r="M6" i="3"/>
  <c r="M7" i="3"/>
  <c r="M8" i="3"/>
  <c r="M9" i="3"/>
  <c r="M10" i="3"/>
  <c r="M11" i="3"/>
  <c r="M12" i="3"/>
  <c r="M2" i="3"/>
  <c r="G12" i="3" l="1"/>
  <c r="H3" i="3"/>
  <c r="H4" i="3"/>
  <c r="H5" i="3"/>
  <c r="H6" i="3"/>
  <c r="H7" i="3"/>
  <c r="H8" i="3"/>
  <c r="H9" i="3"/>
  <c r="H10" i="3"/>
  <c r="H11" i="3"/>
  <c r="H12" i="3"/>
  <c r="H14" i="3" s="1"/>
  <c r="H2" i="3"/>
  <c r="G3" i="3"/>
  <c r="G4" i="3"/>
  <c r="G5" i="3"/>
  <c r="G6" i="3"/>
  <c r="G7" i="3"/>
  <c r="G8" i="3"/>
  <c r="G9" i="3"/>
  <c r="G10" i="3"/>
  <c r="G11" i="3"/>
  <c r="G2" i="3"/>
  <c r="E3" i="3" l="1"/>
  <c r="E4" i="3"/>
  <c r="E5" i="3"/>
  <c r="E6" i="3"/>
  <c r="E7" i="3"/>
  <c r="E8" i="3"/>
  <c r="E9" i="3"/>
  <c r="E10" i="3"/>
  <c r="E11" i="3"/>
  <c r="E12" i="3"/>
  <c r="E2" i="3"/>
  <c r="B2" i="3" l="1"/>
  <c r="X6" i="1" l="1"/>
  <c r="S1" i="1"/>
  <c r="Q1" i="1"/>
  <c r="R6" i="1"/>
  <c r="S2" i="1"/>
  <c r="Q2" i="1"/>
  <c r="U6" i="1"/>
  <c r="T6" i="1"/>
  <c r="S6" i="1"/>
  <c r="W6" i="1"/>
  <c r="Z7" i="1"/>
  <c r="T7" i="1"/>
  <c r="S7" i="1"/>
  <c r="W7" i="1"/>
  <c r="U7" i="1"/>
  <c r="K19" i="1"/>
  <c r="Y6" i="1" l="1"/>
  <c r="K35" i="1"/>
  <c r="Z16" i="1" l="1"/>
  <c r="Z15" i="1"/>
  <c r="Z14" i="1"/>
  <c r="Z13" i="1"/>
  <c r="Z12" i="1"/>
  <c r="Z11" i="1"/>
  <c r="Z10" i="1"/>
  <c r="Z9" i="1"/>
  <c r="Z8" i="1"/>
  <c r="P7" i="1"/>
  <c r="P8" i="1" s="1"/>
  <c r="L14" i="1"/>
  <c r="I14" i="1"/>
  <c r="I13" i="1"/>
  <c r="I12" i="1"/>
  <c r="N11" i="1"/>
  <c r="M11" i="1"/>
  <c r="I11" i="1"/>
  <c r="I10" i="1"/>
  <c r="I9" i="1"/>
  <c r="I8" i="1"/>
  <c r="I7" i="1"/>
  <c r="L6" i="1"/>
  <c r="I6" i="1"/>
  <c r="I5" i="1"/>
  <c r="L4" i="1"/>
  <c r="I4" i="1"/>
  <c r="N14" i="1"/>
  <c r="M14" i="1"/>
  <c r="K14" i="1"/>
  <c r="N13" i="1"/>
  <c r="M13" i="1"/>
  <c r="L13" i="1"/>
  <c r="K13" i="1"/>
  <c r="N12" i="1"/>
  <c r="M12" i="1"/>
  <c r="L12" i="1"/>
  <c r="K12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K6" i="1"/>
  <c r="N5" i="1"/>
  <c r="M5" i="1"/>
  <c r="L5" i="1"/>
  <c r="K5" i="1"/>
  <c r="N4" i="1"/>
  <c r="M4" i="1"/>
  <c r="K32" i="1" s="1"/>
  <c r="K4" i="1"/>
  <c r="L32" i="1" l="1"/>
  <c r="K21" i="1"/>
  <c r="K26" i="1"/>
  <c r="K25" i="1"/>
  <c r="L37" i="1"/>
  <c r="L26" i="1"/>
  <c r="L21" i="1"/>
  <c r="K37" i="1"/>
  <c r="P9" i="1"/>
  <c r="K24" i="1"/>
  <c r="L24" i="1"/>
  <c r="L36" i="1"/>
  <c r="L25" i="1"/>
  <c r="L35" i="1"/>
  <c r="K36" i="1"/>
  <c r="K31" i="1"/>
  <c r="K30" i="1"/>
  <c r="L31" i="1"/>
  <c r="L30" i="1"/>
  <c r="L20" i="1"/>
  <c r="K20" i="1"/>
  <c r="L19" i="1"/>
  <c r="V6" i="1" l="1"/>
  <c r="P10" i="1"/>
  <c r="P11" i="1" l="1"/>
  <c r="P12" i="1" l="1"/>
  <c r="AC6" i="1" l="1"/>
  <c r="R7" i="1"/>
  <c r="X7" i="1" s="1"/>
  <c r="Y7" i="1" s="1"/>
  <c r="R8" i="1"/>
  <c r="R9" i="1"/>
  <c r="R10" i="1"/>
  <c r="R11" i="1"/>
  <c r="R12" i="1"/>
  <c r="U8" i="1"/>
  <c r="U10" i="1"/>
  <c r="U12" i="1"/>
  <c r="U9" i="1"/>
  <c r="U11" i="1"/>
  <c r="T8" i="1"/>
  <c r="T10" i="1"/>
  <c r="T12" i="1"/>
  <c r="T11" i="1"/>
  <c r="S10" i="1"/>
  <c r="T9" i="1"/>
  <c r="S11" i="1"/>
  <c r="W8" i="1"/>
  <c r="S8" i="1"/>
  <c r="S12" i="1"/>
  <c r="S9" i="1"/>
  <c r="W9" i="1"/>
  <c r="W10" i="1"/>
  <c r="W12" i="1"/>
  <c r="P13" i="1"/>
  <c r="R13" i="1" s="1"/>
  <c r="W11" i="1"/>
  <c r="V7" i="1" l="1"/>
  <c r="X9" i="1"/>
  <c r="W13" i="1"/>
  <c r="P14" i="1"/>
  <c r="U13" i="1"/>
  <c r="X12" i="1"/>
  <c r="X8" i="1"/>
  <c r="T13" i="1"/>
  <c r="X11" i="1"/>
  <c r="S13" i="1"/>
  <c r="X10" i="1"/>
  <c r="AC7" i="1" l="1"/>
  <c r="X13" i="1"/>
  <c r="W14" i="1"/>
  <c r="P15" i="1"/>
  <c r="R14" i="1"/>
  <c r="S14" i="1"/>
  <c r="T14" i="1"/>
  <c r="U14" i="1"/>
  <c r="V8" i="1"/>
  <c r="X14" i="1" l="1"/>
  <c r="Y8" i="1"/>
  <c r="AA8" i="1" s="1"/>
  <c r="AC8" i="1" s="1"/>
  <c r="W15" i="1"/>
  <c r="P16" i="1"/>
  <c r="T15" i="1"/>
  <c r="R15" i="1"/>
  <c r="S15" i="1"/>
  <c r="U15" i="1"/>
  <c r="V9" i="1"/>
  <c r="Y9" i="1" l="1"/>
  <c r="Y10" i="1" s="1"/>
  <c r="W16" i="1"/>
  <c r="U16" i="1"/>
  <c r="S16" i="1"/>
  <c r="R16" i="1"/>
  <c r="T16" i="1"/>
  <c r="X15" i="1"/>
  <c r="V10" i="1"/>
  <c r="V11" i="1" s="1"/>
  <c r="AA9" i="1" l="1"/>
  <c r="AC9" i="1" s="1"/>
  <c r="AA10" i="1"/>
  <c r="AC10" i="1" s="1"/>
  <c r="Y11" i="1"/>
  <c r="X16" i="1"/>
  <c r="AA11" i="1" l="1"/>
  <c r="AC11" i="1" s="1"/>
  <c r="V12" i="1"/>
  <c r="Y12" i="1"/>
  <c r="AA12" i="1" l="1"/>
  <c r="AC12" i="1" s="1"/>
  <c r="V13" i="1"/>
  <c r="Y13" i="1"/>
  <c r="AA13" i="1" l="1"/>
  <c r="AC13" i="1" s="1"/>
  <c r="V14" i="1"/>
  <c r="Y14" i="1"/>
  <c r="V15" i="1" l="1"/>
  <c r="Y15" i="1"/>
  <c r="AA14" i="1"/>
  <c r="AC14" i="1" s="1"/>
  <c r="AA15" i="1" l="1"/>
  <c r="AC15" i="1" s="1"/>
  <c r="V16" i="1"/>
  <c r="Y16" i="1"/>
  <c r="AA16" i="1" l="1"/>
  <c r="AC16" i="1" s="1"/>
</calcChain>
</file>

<file path=xl/sharedStrings.xml><?xml version="1.0" encoding="utf-8"?>
<sst xmlns="http://schemas.openxmlformats.org/spreadsheetml/2006/main" count="109" uniqueCount="72">
  <si>
    <t>Age group (x,x+n)</t>
  </si>
  <si>
    <t>Males</t>
  </si>
  <si>
    <t>Females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</si>
  <si>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</si>
  <si>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</si>
  <si>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</si>
  <si>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</si>
  <si>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</si>
  <si>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</si>
  <si>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</si>
  <si>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</si>
  <si>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</si>
  <si>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</si>
  <si>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</si>
  <si>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ln(x)</t>
  </si>
  <si>
    <t>Input regression</t>
  </si>
  <si>
    <t>Gompertz</t>
  </si>
  <si>
    <t>Weibull</t>
  </si>
  <si>
    <t>t</t>
  </si>
  <si>
    <r>
      <t>s</t>
    </r>
    <r>
      <rPr>
        <b/>
        <vertAlign val="subscript"/>
        <sz val="10"/>
        <rFont val="Arial"/>
        <family val="2"/>
      </rPr>
      <t>i</t>
    </r>
  </si>
  <si>
    <t>MIAMOD</t>
  </si>
  <si>
    <t>s.e. process error</t>
  </si>
  <si>
    <t>control</t>
  </si>
  <si>
    <t>Example for males</t>
  </si>
  <si>
    <r>
      <rPr>
        <sz val="10"/>
        <rFont val="Symbol"/>
        <family val="1"/>
      </rPr>
      <t>m</t>
    </r>
    <r>
      <rPr>
        <sz val="10"/>
        <color theme="1"/>
        <rFont val="Calibri"/>
        <family val="2"/>
        <scheme val="minor"/>
      </rPr>
      <t xml:space="preserve">23(x) </t>
    </r>
  </si>
  <si>
    <r>
      <rPr>
        <sz val="10"/>
        <rFont val="Symbol"/>
        <family val="1"/>
      </rPr>
      <t>m14</t>
    </r>
    <r>
      <rPr>
        <sz val="10"/>
        <color theme="1"/>
        <rFont val="Calibri"/>
        <family val="2"/>
        <scheme val="minor"/>
      </rPr>
      <t>(x)</t>
    </r>
  </si>
  <si>
    <r>
      <t>Y = log(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23(x))</t>
    </r>
    <r>
      <rPr>
        <vertAlign val="subscript"/>
        <sz val="10"/>
        <rFont val="Arial"/>
        <family val="2"/>
      </rPr>
      <t xml:space="preserve"> </t>
    </r>
  </si>
  <si>
    <r>
      <t>Y = log(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14(x))</t>
    </r>
    <r>
      <rPr>
        <vertAlign val="subscript"/>
        <sz val="10"/>
        <rFont val="Arial"/>
        <family val="2"/>
      </rPr>
      <t xml:space="preserve"> </t>
    </r>
  </si>
  <si>
    <t>x</t>
  </si>
  <si>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23(x)</t>
    </r>
  </si>
  <si>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14(x)</t>
    </r>
  </si>
  <si>
    <t>numerator</t>
  </si>
  <si>
    <t>denominator</t>
  </si>
  <si>
    <t>gamma</t>
  </si>
  <si>
    <r>
      <rPr>
        <sz val="10"/>
        <rFont val="Arial"/>
        <family val="2"/>
      </rPr>
      <t>Elements for the calculation of</t>
    </r>
    <r>
      <rPr>
        <vertAlign val="subscript"/>
        <sz val="10"/>
        <rFont val="Arial"/>
        <family val="2"/>
      </rPr>
      <t xml:space="preserve"> t</t>
    </r>
    <r>
      <rPr>
        <sz val="11"/>
        <color theme="1"/>
        <rFont val="Calibri"/>
        <family val="2"/>
        <scheme val="minor"/>
      </rPr>
      <t>p</t>
    </r>
    <r>
      <rPr>
        <vertAlign val="superscript"/>
        <sz val="10"/>
        <rFont val="Arial"/>
        <family val="2"/>
      </rPr>
      <t>ai</t>
    </r>
    <r>
      <rPr>
        <vertAlign val="subscript"/>
        <sz val="10"/>
        <rFont val="Arial"/>
        <family val="2"/>
      </rPr>
      <t>y</t>
    </r>
  </si>
  <si>
    <r>
      <t>t</t>
    </r>
    <r>
      <rPr>
        <b/>
        <sz val="11"/>
        <color theme="1"/>
        <rFont val="Calibri"/>
        <family val="2"/>
        <scheme val="minor"/>
      </rPr>
      <t>p</t>
    </r>
    <r>
      <rPr>
        <b/>
        <vertAlign val="superscript"/>
        <sz val="10"/>
        <rFont val="Arial"/>
        <family val="2"/>
      </rPr>
      <t>aa</t>
    </r>
    <r>
      <rPr>
        <b/>
        <vertAlign val="subscript"/>
        <sz val="10"/>
        <rFont val="Arial"/>
        <family val="2"/>
      </rPr>
      <t>20</t>
    </r>
  </si>
  <si>
    <r>
      <t>t</t>
    </r>
    <r>
      <rPr>
        <b/>
        <sz val="11"/>
        <color theme="1"/>
        <rFont val="Calibri"/>
        <family val="2"/>
        <scheme val="minor"/>
      </rPr>
      <t>p</t>
    </r>
    <r>
      <rPr>
        <b/>
        <vertAlign val="superscript"/>
        <sz val="10"/>
        <rFont val="Arial"/>
        <family val="2"/>
      </rPr>
      <t>ai</t>
    </r>
    <r>
      <rPr>
        <b/>
        <vertAlign val="subscript"/>
        <sz val="10"/>
        <rFont val="Arial"/>
        <family val="2"/>
      </rPr>
      <t>20</t>
    </r>
  </si>
  <si>
    <t>Input data</t>
  </si>
  <si>
    <r>
      <t>f</t>
    </r>
    <r>
      <rPr>
        <b/>
        <vertAlign val="subscript"/>
        <sz val="10"/>
        <rFont val="Arial"/>
        <family val="2"/>
      </rPr>
      <t>x-x+1</t>
    </r>
  </si>
  <si>
    <t>prev. rates</t>
  </si>
  <si>
    <t>Obj function</t>
  </si>
  <si>
    <r>
      <t>1</t>
    </r>
    <r>
      <rPr>
        <b/>
        <sz val="11"/>
        <color theme="1"/>
        <rFont val="Calibri"/>
        <family val="2"/>
        <scheme val="minor"/>
      </rPr>
      <t>p</t>
    </r>
    <r>
      <rPr>
        <b/>
        <vertAlign val="superscript"/>
        <sz val="10"/>
        <rFont val="Arial"/>
        <family val="2"/>
      </rPr>
      <t>aa</t>
    </r>
    <r>
      <rPr>
        <b/>
        <vertAlign val="subscript"/>
        <sz val="10"/>
        <rFont val="Arial"/>
        <family val="2"/>
      </rPr>
      <t>x</t>
    </r>
  </si>
  <si>
    <r>
      <t>t</t>
    </r>
    <r>
      <rPr>
        <b/>
        <sz val="11"/>
        <color theme="1"/>
        <rFont val="Calibri"/>
        <family val="2"/>
        <scheme val="minor"/>
      </rPr>
      <t>p</t>
    </r>
    <r>
      <rPr>
        <b/>
        <vertAlign val="superscript"/>
        <sz val="10"/>
        <rFont val="Arial"/>
        <family val="2"/>
      </rPr>
      <t>ii</t>
    </r>
    <r>
      <rPr>
        <b/>
        <vertAlign val="subscript"/>
        <sz val="10"/>
        <rFont val="Arial"/>
        <family val="2"/>
      </rPr>
      <t>x</t>
    </r>
  </si>
  <si>
    <r>
      <t>1</t>
    </r>
    <r>
      <rPr>
        <b/>
        <sz val="11"/>
        <color theme="1"/>
        <rFont val="Calibri"/>
        <family val="2"/>
        <scheme val="minor"/>
      </rPr>
      <t>p</t>
    </r>
    <r>
      <rPr>
        <b/>
        <vertAlign val="superscript"/>
        <sz val="10"/>
        <rFont val="Arial"/>
        <family val="2"/>
      </rPr>
      <t>ai</t>
    </r>
    <r>
      <rPr>
        <b/>
        <vertAlign val="subscript"/>
        <sz val="10"/>
        <rFont val="Arial"/>
        <family val="2"/>
      </rPr>
      <t>x</t>
    </r>
  </si>
  <si>
    <r>
      <t>Prev. rates  f</t>
    </r>
    <r>
      <rPr>
        <vertAlign val="subscript"/>
        <sz val="11"/>
        <color theme="1"/>
        <rFont val="Calibri"/>
        <family val="2"/>
        <scheme val="minor"/>
      </rPr>
      <t>x+n</t>
    </r>
  </si>
  <si>
    <t>Age</t>
  </si>
  <si>
    <t>Beta1</t>
  </si>
  <si>
    <t>Beta2</t>
  </si>
  <si>
    <t>Table 4.3</t>
  </si>
  <si>
    <t>Table 4.1</t>
  </si>
  <si>
    <t>b1</t>
  </si>
  <si>
    <t>b2</t>
  </si>
  <si>
    <t>Table 4.2</t>
  </si>
  <si>
    <t>b1 (h)</t>
  </si>
  <si>
    <t>b2 (h)</t>
  </si>
  <si>
    <t>b1 (ci)</t>
  </si>
  <si>
    <t>b2 (ci)</t>
  </si>
  <si>
    <t>1th part</t>
  </si>
  <si>
    <t>mu_14_MALE</t>
  </si>
  <si>
    <t>mu_14_FEMALE</t>
  </si>
  <si>
    <t>mu_23_MALE</t>
  </si>
  <si>
    <t>mu_23_FEMALE</t>
  </si>
  <si>
    <t>age</t>
  </si>
  <si>
    <t>sigma</t>
  </si>
  <si>
    <t>Delta</t>
  </si>
  <si>
    <t>b1h</t>
  </si>
  <si>
    <t>b2h</t>
  </si>
  <si>
    <t>0.00000006224008</t>
  </si>
  <si>
    <t>2.751176</t>
  </si>
  <si>
    <t>Term</t>
  </si>
  <si>
    <t>Dk</t>
  </si>
  <si>
    <t>yk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</si>
</sst>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-* #,##0.00_-;\-* #,##0.00_-;_-* &quot;-&quot;??_-;_-@_-"/>
    <numFmt numFmtId="165" formatCode="0.0"/>
    <numFmt numFmtId="166" formatCode="0.000%"/>
    <numFmt numFmtId="167" formatCode="0.000000000"/>
    <numFmt numFmtId="168" formatCode="_-* #,##0.0000_-;\-* #,##0.0000_-;_-* \-??_-;_-@_-"/>
    <numFmt numFmtId="169" formatCode="0.00000"/>
    <numFmt numFmtId="170" formatCode="0.0000000"/>
    <numFmt numFmtId="171" formatCode="0.000000"/>
    <numFmt numFmtId="172" formatCode="0.0000"/>
    <numFmt numFmtId="173" formatCode="0.00000000"/>
    <numFmt numFmtId="174" formatCode="0.00000%"/>
    <numFmt numFmtId="175" formatCode="_-* #,##0.000000_-;\-* #,##0.000000_-;_-* &quot;-&quot;??_-;_-@_-"/>
    <numFmt numFmtId="176" formatCode="0.000000E+00"/>
    <numFmt numFmtId="177" formatCode="_ * #,##0.00000000_-_ر_ي_ا_ل_ ;_ * #,##0.00000000\-_ر_ي_ا_ل_ ;_ * &quot;-&quot;??_-_ر_ي_ا_ل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vertAlign val="subscript"/>
      <sz val="11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sz val="10"/>
      <name val="Symbol"/>
      <family val="1"/>
    </font>
    <font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b/>
      <sz val="8"/>
      <name val="Arial"/>
      <family val="2"/>
    </font>
    <font>
      <b/>
      <sz val="10"/>
      <name val="Symbol"/>
      <family val="1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Symbol"/>
      <family val="1"/>
      <charset val="2"/>
    </font>
    <font>
      <sz val="1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69">
    <xf numFmtId="0" fontId="0" fillId="0" borderId="0" xfId="0"/>
    <xf numFmtId="167" fontId="0" fillId="0" borderId="0" xfId="0" applyNumberFormat="1" applyFill="1"/>
    <xf numFmtId="165" fontId="0" fillId="0" borderId="0" xfId="0" applyNumberFormat="1" applyFill="1"/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/>
    <xf numFmtId="169" fontId="0" fillId="0" borderId="0" xfId="0" applyNumberFormat="1" applyFill="1"/>
    <xf numFmtId="0" fontId="2" fillId="0" borderId="0" xfId="0" applyFont="1" applyFill="1"/>
    <xf numFmtId="0" fontId="5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71" fontId="0" fillId="0" borderId="0" xfId="0" applyNumberFormat="1" applyFill="1" applyBorder="1"/>
    <xf numFmtId="0" fontId="7" fillId="0" borderId="0" xfId="0" applyFont="1" applyFill="1"/>
    <xf numFmtId="9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0" borderId="0" xfId="3" applyFont="1" applyFill="1"/>
    <xf numFmtId="0" fontId="0" fillId="0" borderId="0" xfId="0" applyFont="1" applyFill="1" applyBorder="1" applyAlignment="1">
      <alignment horizontal="center"/>
    </xf>
    <xf numFmtId="173" fontId="0" fillId="0" borderId="0" xfId="0" applyNumberFormat="1" applyFill="1"/>
    <xf numFmtId="174" fontId="0" fillId="0" borderId="0" xfId="2" applyNumberFormat="1" applyFont="1" applyFill="1"/>
    <xf numFmtId="1" fontId="0" fillId="0" borderId="0" xfId="0" applyNumberFormat="1" applyFill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169" fontId="0" fillId="0" borderId="0" xfId="0" applyNumberFormat="1" applyFill="1" applyBorder="1"/>
    <xf numFmtId="164" fontId="1" fillId="0" borderId="0" xfId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6" fontId="1" fillId="0" borderId="1" xfId="2" applyNumberFormat="1" applyFill="1" applyBorder="1"/>
    <xf numFmtId="168" fontId="1" fillId="0" borderId="1" xfId="1" applyNumberFormat="1" applyFill="1" applyBorder="1"/>
    <xf numFmtId="0" fontId="0" fillId="0" borderId="1" xfId="0" applyFont="1" applyFill="1" applyBorder="1"/>
    <xf numFmtId="165" fontId="0" fillId="0" borderId="1" xfId="0" applyNumberFormat="1" applyFont="1" applyFill="1" applyBorder="1" applyAlignment="1">
      <alignment horizontal="center"/>
    </xf>
    <xf numFmtId="165" fontId="0" fillId="0" borderId="1" xfId="0" applyNumberFormat="1" applyFill="1" applyBorder="1"/>
    <xf numFmtId="0" fontId="2" fillId="0" borderId="0" xfId="0" applyFont="1" applyFill="1" applyAlignment="1">
      <alignment vertical="center"/>
    </xf>
    <xf numFmtId="0" fontId="0" fillId="0" borderId="1" xfId="0" applyFill="1" applyBorder="1"/>
    <xf numFmtId="0" fontId="5" fillId="0" borderId="1" xfId="0" applyFont="1" applyFill="1" applyBorder="1" applyAlignment="1">
      <alignment horizontal="center"/>
    </xf>
    <xf numFmtId="170" fontId="0" fillId="0" borderId="1" xfId="0" applyNumberFormat="1" applyFill="1" applyBorder="1"/>
    <xf numFmtId="10" fontId="0" fillId="0" borderId="1" xfId="2" applyNumberFormat="1" applyFont="1" applyFill="1" applyBorder="1"/>
    <xf numFmtId="0" fontId="0" fillId="0" borderId="1" xfId="0" applyFill="1" applyBorder="1" applyAlignment="1">
      <alignment horizontal="center"/>
    </xf>
    <xf numFmtId="1" fontId="5" fillId="0" borderId="1" xfId="3" applyNumberFormat="1" applyFill="1" applyBorder="1" applyAlignment="1">
      <alignment horizontal="center"/>
    </xf>
    <xf numFmtId="0" fontId="5" fillId="0" borderId="1" xfId="3" applyFill="1" applyBorder="1" applyAlignment="1">
      <alignment horizontal="center"/>
    </xf>
    <xf numFmtId="175" fontId="0" fillId="0" borderId="1" xfId="1" applyNumberFormat="1" applyFont="1" applyFill="1" applyBorder="1"/>
    <xf numFmtId="1" fontId="0" fillId="0" borderId="1" xfId="0" applyNumberFormat="1" applyFill="1" applyBorder="1" applyAlignment="1">
      <alignment horizontal="center"/>
    </xf>
    <xf numFmtId="171" fontId="0" fillId="0" borderId="1" xfId="0" applyNumberFormat="1" applyFill="1" applyBorder="1"/>
    <xf numFmtId="0" fontId="2" fillId="0" borderId="1" xfId="0" applyFont="1" applyFill="1" applyBorder="1" applyAlignment="1">
      <alignment horizontal="center" vertical="center"/>
    </xf>
    <xf numFmtId="172" fontId="13" fillId="0" borderId="1" xfId="0" applyNumberFormat="1" applyFont="1" applyFill="1" applyBorder="1" applyAlignment="1">
      <alignment horizontal="center" vertical="center"/>
    </xf>
    <xf numFmtId="172" fontId="9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2" fontId="11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70" fontId="5" fillId="0" borderId="1" xfId="3" applyNumberFormat="1" applyFill="1" applyBorder="1"/>
    <xf numFmtId="170" fontId="5" fillId="0" borderId="1" xfId="3" applyNumberFormat="1" applyFill="1" applyBorder="1" applyAlignment="1">
      <alignment horizontal="center"/>
    </xf>
    <xf numFmtId="170" fontId="0" fillId="0" borderId="1" xfId="1" applyNumberFormat="1" applyFont="1" applyFill="1" applyBorder="1"/>
    <xf numFmtId="176" fontId="0" fillId="0" borderId="1" xfId="0" applyNumberFormat="1" applyFill="1" applyBorder="1"/>
    <xf numFmtId="0" fontId="0" fillId="0" borderId="0" xfId="0" applyFill="1" applyAlignment="1">
      <alignment horizontal="center" vertical="center"/>
    </xf>
    <xf numFmtId="176" fontId="0" fillId="0" borderId="0" xfId="0" applyNumberFormat="1" applyFill="1" applyBorder="1" applyAlignment="1">
      <alignment horizontal="right"/>
    </xf>
    <xf numFmtId="171" fontId="0" fillId="0" borderId="0" xfId="0" applyNumberFormat="1" applyFill="1" applyBorder="1" applyAlignment="1">
      <alignment horizontal="right"/>
    </xf>
    <xf numFmtId="0" fontId="18" fillId="0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1" fillId="0" borderId="0" xfId="2" applyNumberFormat="1" applyFill="1" applyBorder="1" applyAlignment="1">
      <alignment horizontal="center" vertical="center"/>
    </xf>
    <xf numFmtId="177" fontId="0" fillId="0" borderId="0" xfId="0" applyNumberFormat="1" applyFont="1" applyFill="1"/>
    <xf numFmtId="0" fontId="0" fillId="0" borderId="0" xfId="0" applyAlignment="1">
      <alignment horizontal="left"/>
    </xf>
    <xf numFmtId="169" fontId="17" fillId="0" borderId="1" xfId="0" applyNumberFormat="1" applyFont="1" applyFill="1" applyBorder="1" applyAlignment="1">
      <alignment horizontal="center" vertical="center"/>
    </xf>
    <xf numFmtId="169" fontId="12" fillId="0" borderId="1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72" fontId="4" fillId="0" borderId="2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</cellXfs>
  <cellStyles count="4">
    <cellStyle name="Comma" xfId="1" builtinId="3"/>
    <cellStyle name="Normal" xfId="0" builtinId="0"/>
    <cellStyle name="Normale 2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SIGMA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61592300962376E-2"/>
          <c:y val="2.5340344567655687E-2"/>
          <c:w val="0.87129396325459318"/>
          <c:h val="0.72185343614055164"/>
        </c:manualLayout>
      </c:layout>
      <c:lineChart>
        <c:grouping val="standard"/>
        <c:varyColors val="0"/>
        <c:ser>
          <c:idx val="0"/>
          <c:order val="0"/>
          <c:tx>
            <c:v>Modello Weibull dai 20 anni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Foglio1!$P$6:$P$16</c:f>
              <c:numCache>
                <c:formatCode>0</c:formatCode>
                <c:ptCount val="11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</c:numCache>
            </c:numRef>
          </c:cat>
          <c:val>
            <c:numRef>
              <c:f>Foglio1!$AB$6:$AB$16</c:f>
              <c:numCache>
                <c:formatCode>0.0000000</c:formatCode>
                <c:ptCount val="11"/>
                <c:pt idx="0">
                  <c:v>1.07160159108182E-4</c:v>
                </c:pt>
                <c:pt idx="1">
                  <c:v>1.0770782511143179E-4</c:v>
                </c:pt>
                <c:pt idx="2">
                  <c:v>1.7462076586580069E-4</c:v>
                </c:pt>
                <c:pt idx="3">
                  <c:v>3.0628166791936016E-4</c:v>
                </c:pt>
                <c:pt idx="4">
                  <c:v>5.4210152561256131E-4</c:v>
                </c:pt>
                <c:pt idx="5">
                  <c:v>1.0777742629360157E-3</c:v>
                </c:pt>
                <c:pt idx="6">
                  <c:v>2.2326696855583398E-3</c:v>
                </c:pt>
                <c:pt idx="7">
                  <c:v>4.1061080312609971E-3</c:v>
                </c:pt>
                <c:pt idx="8">
                  <c:v>8.3570675857534485E-3</c:v>
                </c:pt>
                <c:pt idx="9">
                  <c:v>1.2206443382102937E-2</c:v>
                </c:pt>
                <c:pt idx="10">
                  <c:v>1.7091106987882732E-2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8-491E-B376-BF4338191D2E}"/>
            </c:ext>
          </c:extLst>
        </c:ser>
        <c:ser>
          <c:idx val="1"/>
          <c:order val="1"/>
          <c:tx>
            <c:v>Modello Weibull dai 15 anni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Foglio1!$P$6:$P$16</c:f>
              <c:numCache>
                <c:formatCode>0</c:formatCode>
                <c:ptCount val="11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</c:numCache>
            </c:numRef>
          </c:cat>
          <c:val>
            <c:numRef>
              <c:f>Foglio1!$AB$22:$AB$32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8-491E-B376-BF4338191D2E}"/>
            </c:ext>
          </c:extLst>
        </c:ser>
        <c:ser>
          <c:idx val="3"/>
          <c:order val="2"/>
          <c:tx>
            <c:v>MIAMOD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Foglio1!$P$6:$P$16</c:f>
              <c:numCache>
                <c:formatCode>0</c:formatCode>
                <c:ptCount val="11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</c:numCache>
            </c:numRef>
          </c:cat>
          <c:val>
            <c:numRef>
              <c:f>Foglio1!$AE$6:$AE$16</c:f>
              <c:numCache>
                <c:formatCode>_-* #,##0.000000_-;\-* #,##0.000000_-;_-* "-"??_-;_-@_-</c:formatCode>
                <c:ptCount val="11"/>
                <c:pt idx="0">
                  <c:v>5.27613739843436E-5</c:v>
                </c:pt>
                <c:pt idx="1">
                  <c:v>9.8323206631811976E-5</c:v>
                </c:pt>
                <c:pt idx="2">
                  <c:v>1.6477305753942424E-4</c:v>
                </c:pt>
                <c:pt idx="3">
                  <c:v>2.7319051896365453E-4</c:v>
                </c:pt>
                <c:pt idx="4">
                  <c:v>4.7379884138405487E-4</c:v>
                </c:pt>
                <c:pt idx="5">
                  <c:v>8.7719219204336672E-4</c:v>
                </c:pt>
                <c:pt idx="6">
                  <c:v>1.7374539303634661E-3</c:v>
                </c:pt>
                <c:pt idx="7">
                  <c:v>3.4734138832420098E-3</c:v>
                </c:pt>
                <c:pt idx="8">
                  <c:v>6.4347393368732811E-3</c:v>
                </c:pt>
                <c:pt idx="9">
                  <c:v>1.1009190170646103E-2</c:v>
                </c:pt>
                <c:pt idx="10">
                  <c:v>1.5907566310980659E-2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8-491E-B376-BF4338191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596288"/>
        <c:axId val="241597824"/>
      </c:lineChart>
      <c:catAx>
        <c:axId val="2415962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97824"/>
        <c:crosses val="autoZero"/>
        <c:auto val="1"/>
        <c:lblAlgn val="ctr"/>
        <c:lblOffset val="100"/>
        <c:noMultiLvlLbl val="0"/>
      </c:catAx>
      <c:valAx>
        <c:axId val="2415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9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104775</xdr:colOff>
      <xdr:row>17</xdr:row>
      <xdr:rowOff>90487</xdr:rowOff>
    </xdr:from>
    <xdr:to>
      <xdr:col>31</xdr:col>
      <xdr:colOff>2382</xdr:colOff>
      <xdr:row>31</xdr:row>
      <xdr:rowOff>126206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"/>
  <sheetViews>
    <sheetView tabSelected="1" topLeftCell="L1" zoomScaleNormal="100" workbookViewId="0">
      <selection activeCell="AA7" sqref="AA7"/>
    </sheetView>
  </sheetViews>
  <sheetFormatPr defaultRowHeight="15" x14ac:dyDescent="0.25"/>
  <cols>
    <col min="1" max="1" width="16.7109375" style="4" bestFit="1" customWidth="1"/>
    <col min="2" max="2" width="7.140625" style="4" bestFit="1" customWidth="1"/>
    <col min="3" max="3" width="8.42578125" style="4" bestFit="1" customWidth="1"/>
    <col min="4" max="4" width="7.140625" style="4" bestFit="1" customWidth="1"/>
    <col min="5" max="5" width="8.42578125" style="4" bestFit="1" customWidth="1"/>
    <col min="6" max="6" width="8" style="4" bestFit="1" customWidth="1"/>
    <col min="7" max="7" width="8.42578125" style="4" bestFit="1" customWidth="1"/>
    <col min="8" max="8" width="5.7109375" style="4" customWidth="1"/>
    <col min="9" max="9" width="15.7109375" style="4" bestFit="1" customWidth="1"/>
    <col min="10" max="10" width="16.5703125" style="4" customWidth="1"/>
    <col min="11" max="14" width="12.28515625" style="4" bestFit="1" customWidth="1"/>
    <col min="15" max="15" width="7.42578125" style="4" customWidth="1"/>
    <col min="16" max="16" width="9" style="4" bestFit="1" customWidth="1"/>
    <col min="17" max="17" width="12.42578125" style="4" bestFit="1" customWidth="1"/>
    <col min="18" max="20" width="12.7109375" style="4" bestFit="1" customWidth="1"/>
    <col min="21" max="22" width="13" style="4" bestFit="1" customWidth="1"/>
    <col min="23" max="23" width="12" style="4" bestFit="1" customWidth="1"/>
    <col min="24" max="24" width="12.7109375" style="4" bestFit="1" customWidth="1"/>
    <col min="25" max="25" width="13" style="4" bestFit="1" customWidth="1"/>
    <col min="26" max="26" width="12" style="4" customWidth="1"/>
    <col min="27" max="27" width="15.140625" style="4" bestFit="1" customWidth="1"/>
    <col min="28" max="28" width="11.140625" style="4" customWidth="1"/>
    <col min="29" max="29" width="12.7109375" style="4" bestFit="1" customWidth="1"/>
    <col min="30" max="30" width="6.7109375" style="4" customWidth="1"/>
    <col min="31" max="31" width="10.7109375" style="4" bestFit="1" customWidth="1"/>
    <col min="32" max="32" width="11" style="4" bestFit="1" customWidth="1"/>
    <col min="33" max="16384" width="9.140625" style="4"/>
  </cols>
  <sheetData>
    <row r="1" spans="1:31" ht="18.75" x14ac:dyDescent="0.25">
      <c r="A1" s="29" t="s">
        <v>37</v>
      </c>
      <c r="B1" s="65"/>
      <c r="C1" s="65"/>
      <c r="D1" s="65"/>
      <c r="E1" s="65"/>
      <c r="F1" s="66"/>
      <c r="G1" s="66"/>
      <c r="I1" s="29" t="s">
        <v>15</v>
      </c>
      <c r="P1" s="9" t="s">
        <v>53</v>
      </c>
      <c r="Q1" s="51">
        <f>K30</f>
        <v>6.2240078428185662E-8</v>
      </c>
      <c r="R1" s="9" t="s">
        <v>55</v>
      </c>
      <c r="S1" s="11">
        <f>K19</f>
        <v>5.2353139796332423E-4</v>
      </c>
      <c r="U1" s="53" t="s">
        <v>23</v>
      </c>
      <c r="W1" s="10"/>
      <c r="X1" s="5"/>
    </row>
    <row r="2" spans="1:31" ht="18" x14ac:dyDescent="0.35">
      <c r="A2" s="63" t="s">
        <v>0</v>
      </c>
      <c r="B2" s="60" t="s">
        <v>24</v>
      </c>
      <c r="C2" s="60"/>
      <c r="D2" s="60" t="s">
        <v>25</v>
      </c>
      <c r="E2" s="60"/>
      <c r="F2" s="68" t="s">
        <v>44</v>
      </c>
      <c r="G2" s="68"/>
      <c r="I2" s="26"/>
      <c r="J2" s="26" t="s">
        <v>45</v>
      </c>
      <c r="K2" s="63" t="s">
        <v>26</v>
      </c>
      <c r="L2" s="63"/>
      <c r="M2" s="63" t="s">
        <v>27</v>
      </c>
      <c r="N2" s="63"/>
      <c r="P2" s="9" t="s">
        <v>54</v>
      </c>
      <c r="Q2" s="52">
        <f>K31</f>
        <v>2.7511762287044763</v>
      </c>
      <c r="R2" s="9" t="s">
        <v>56</v>
      </c>
      <c r="S2" s="11">
        <f>K20</f>
        <v>1.222286440716976</v>
      </c>
      <c r="U2" s="12"/>
      <c r="V2" s="10"/>
      <c r="W2" s="10"/>
      <c r="X2" s="5"/>
      <c r="AA2" s="12"/>
    </row>
    <row r="3" spans="1:31" x14ac:dyDescent="0.25">
      <c r="A3" s="63"/>
      <c r="B3" s="23" t="s">
        <v>1</v>
      </c>
      <c r="C3" s="23" t="s">
        <v>2</v>
      </c>
      <c r="D3" s="23" t="s">
        <v>1</v>
      </c>
      <c r="E3" s="23" t="s">
        <v>2</v>
      </c>
      <c r="F3" s="23" t="s">
        <v>1</v>
      </c>
      <c r="G3" s="23" t="s">
        <v>2</v>
      </c>
      <c r="H3" s="2"/>
      <c r="I3" s="23" t="s">
        <v>14</v>
      </c>
      <c r="J3" s="23" t="s">
        <v>28</v>
      </c>
      <c r="K3" s="23" t="s">
        <v>1</v>
      </c>
      <c r="L3" s="23" t="s">
        <v>2</v>
      </c>
      <c r="M3" s="23" t="s">
        <v>1</v>
      </c>
      <c r="N3" s="23" t="s">
        <v>2</v>
      </c>
      <c r="P3" s="9" t="s">
        <v>33</v>
      </c>
      <c r="Q3" s="13">
        <v>0</v>
      </c>
      <c r="U3" s="14"/>
      <c r="V3" s="8"/>
      <c r="W3" s="14"/>
      <c r="X3" s="14"/>
      <c r="Y3" s="8"/>
      <c r="AA3" s="57"/>
      <c r="AB3" s="14"/>
      <c r="AC3" s="15"/>
    </row>
    <row r="4" spans="1:31" ht="15.75" x14ac:dyDescent="0.3">
      <c r="A4" s="23" t="s">
        <v>3</v>
      </c>
      <c r="B4" s="24">
        <v>2.4258760107816711E-2</v>
      </c>
      <c r="C4" s="24">
        <v>9.7613882863340565E-3</v>
      </c>
      <c r="D4" s="24">
        <v>4.8587242190248266E-4</v>
      </c>
      <c r="E4" s="24">
        <v>1.5491036803468822E-4</v>
      </c>
      <c r="F4" s="25">
        <v>5.0415174260697699E-4</v>
      </c>
      <c r="G4" s="25">
        <v>1.3157000770987247E-3</v>
      </c>
      <c r="H4" s="2"/>
      <c r="I4" s="27">
        <f t="shared" ref="I4:I14" si="0">LN(J4)</f>
        <v>2.9957322735539909</v>
      </c>
      <c r="J4" s="27">
        <v>20</v>
      </c>
      <c r="K4" s="28">
        <f t="shared" ref="K4:K14" si="1">+IFERROR(LN(B4),"")</f>
        <v>-3.7189774852712159</v>
      </c>
      <c r="L4" s="28">
        <f t="shared" ref="L4:L14" si="2">+IFERROR(LN(C4),"")</f>
        <v>-4.6293206462203749</v>
      </c>
      <c r="M4" s="28">
        <f t="shared" ref="M4:M14" si="3">IFERROR(LN(D4),"")</f>
        <v>-7.6295644748981015</v>
      </c>
      <c r="N4" s="28">
        <f t="shared" ref="N4:N14" si="4">IFERROR(LN(E4),"")</f>
        <v>-8.7726638790519864</v>
      </c>
      <c r="R4" s="64" t="s">
        <v>34</v>
      </c>
      <c r="S4" s="64"/>
      <c r="T4" s="64"/>
      <c r="Z4" s="3" t="s">
        <v>38</v>
      </c>
    </row>
    <row r="5" spans="1:31" x14ac:dyDescent="0.25">
      <c r="A5" s="23" t="s">
        <v>4</v>
      </c>
      <c r="B5" s="24">
        <v>2.4532710280373831E-2</v>
      </c>
      <c r="C5" s="24">
        <v>1.5267175572519083E-2</v>
      </c>
      <c r="D5" s="24">
        <v>5.2066427449255109E-4</v>
      </c>
      <c r="E5" s="24">
        <v>1.5246521494860572E-4</v>
      </c>
      <c r="F5" s="25">
        <v>9.327761985885813E-4</v>
      </c>
      <c r="G5" s="25">
        <v>2.8132745558180671E-3</v>
      </c>
      <c r="H5" s="5"/>
      <c r="I5" s="27">
        <f t="shared" si="0"/>
        <v>3.2188758248682006</v>
      </c>
      <c r="J5" s="27">
        <v>25</v>
      </c>
      <c r="K5" s="28">
        <f t="shared" si="1"/>
        <v>-3.707747938418319</v>
      </c>
      <c r="L5" s="28">
        <f t="shared" si="2"/>
        <v>-4.1820501426412067</v>
      </c>
      <c r="M5" s="28">
        <f t="shared" si="3"/>
        <v>-7.5604051106878316</v>
      </c>
      <c r="N5" s="28">
        <f t="shared" si="4"/>
        <v>-8.7885740866329396</v>
      </c>
      <c r="P5" s="40" t="s">
        <v>28</v>
      </c>
      <c r="Q5" s="40" t="s">
        <v>18</v>
      </c>
      <c r="R5" s="41" t="s">
        <v>57</v>
      </c>
      <c r="S5" s="41" t="s">
        <v>31</v>
      </c>
      <c r="T5" s="41" t="s">
        <v>32</v>
      </c>
      <c r="U5" s="42" t="s">
        <v>41</v>
      </c>
      <c r="V5" s="42" t="s">
        <v>35</v>
      </c>
      <c r="W5" s="42" t="s">
        <v>42</v>
      </c>
      <c r="X5" s="42" t="s">
        <v>43</v>
      </c>
      <c r="Y5" s="42" t="s">
        <v>36</v>
      </c>
      <c r="Z5" s="43" t="s">
        <v>39</v>
      </c>
      <c r="AA5" s="45" t="s">
        <v>40</v>
      </c>
      <c r="AB5" s="44" t="s">
        <v>19</v>
      </c>
      <c r="AC5" s="45" t="s">
        <v>22</v>
      </c>
      <c r="AE5" s="45" t="s">
        <v>20</v>
      </c>
    </row>
    <row r="6" spans="1:31" x14ac:dyDescent="0.25">
      <c r="A6" s="23" t="s">
        <v>5</v>
      </c>
      <c r="B6" s="24">
        <v>2.7820710973724884E-2</v>
      </c>
      <c r="C6" s="24">
        <v>1.7447827574409852E-2</v>
      </c>
      <c r="D6" s="24">
        <v>5.6630525996272346E-4</v>
      </c>
      <c r="E6" s="24">
        <v>1.8676500942438191E-4</v>
      </c>
      <c r="F6" s="25">
        <v>1.5723169561723065E-3</v>
      </c>
      <c r="G6" s="25">
        <v>5.7708223080774248E-3</v>
      </c>
      <c r="H6" s="5"/>
      <c r="I6" s="27">
        <f t="shared" si="0"/>
        <v>3.4011973816621555</v>
      </c>
      <c r="J6" s="27">
        <v>30</v>
      </c>
      <c r="K6" s="28">
        <f t="shared" si="1"/>
        <v>-3.581974536604736</v>
      </c>
      <c r="L6" s="28">
        <f t="shared" si="2"/>
        <v>-4.0485401323869201</v>
      </c>
      <c r="M6" s="28">
        <f t="shared" si="3"/>
        <v>-7.4763772965904174</v>
      </c>
      <c r="N6" s="28">
        <f t="shared" si="4"/>
        <v>-8.5856593654306117</v>
      </c>
      <c r="P6" s="35">
        <v>20</v>
      </c>
      <c r="Q6" s="36">
        <v>5</v>
      </c>
      <c r="R6" s="32">
        <f>AB6*EXP(-$Q$1/($Q$2+1)*((P6+Q6)^(Foglio1!$S$2+1)-(P6)^(Foglio1!$S$2+1))+$Q$3*$Q$1/($Q$2+1)*(((P6+Q6/2)^$Q$2)*(P6-Q6/2*$Q$2)-(P6+Q6)^($Q$2+1))+Foglio1!$S$1/(Foglio1!$S$2+1)*(((P6+Q6/2)^Foglio1!$S$2)*(P6-Q6/2*Foglio1!$S$2)-(P6+Q6)^(Foglio1!$S$2+1)))</f>
        <v>9.4880525578064021E-5</v>
      </c>
      <c r="S6" s="32">
        <f>EXP((-AB6+($Q$3*$Q$1*(P6+Q6/2)^$Q$2)+Foglio1!$S$1*(P6+Q6/2)^Foglio1!$S$2)*Q6)-1</f>
        <v>0.12427070425551423</v>
      </c>
      <c r="T6" s="32">
        <f>-AB6+($Q$3*$Q$1*(P6+Q6/2)^$Q$2)+Foglio1!$S$1*(P6+Q6/2)^Foglio1!$S$2</f>
        <v>2.3426912511831759E-2</v>
      </c>
      <c r="U6" s="32">
        <f>EXP((-AB6*Q6)-($Q$1/($Q$2+1))*((P6+Q6)^($Q$2+1)-(P6)^($Q$2+1)))</f>
        <v>0.99781684360029366</v>
      </c>
      <c r="V6" s="46">
        <f>U6</f>
        <v>0.99781684360029366</v>
      </c>
      <c r="W6" s="46">
        <f>EXP(-Foglio1!$S$1/(Foglio1!$S$2+1)*((P6+Q6)^(Foglio1!$S$2+1)-(P6)^(Foglio1!$S$2+1))-(1+$Q$3)*$Q$1/($Q$2+1)*((P6+Q6)^($Q$2+1)-(P6)^($Q$2+1)))</f>
        <v>0.88746522162103969</v>
      </c>
      <c r="X6" s="46">
        <f>R6*S6/T6</f>
        <v>5.0330446778952922E-4</v>
      </c>
      <c r="Y6" s="46">
        <f>X6</f>
        <v>5.0330446778952922E-4</v>
      </c>
      <c r="Z6" s="47">
        <f>F4</f>
        <v>5.0415174260697699E-4</v>
      </c>
      <c r="AA6" s="46">
        <f>Y6/(Y6+V6)</f>
        <v>5.041513674380986E-4</v>
      </c>
      <c r="AB6" s="48">
        <v>1.07160159108182E-4</v>
      </c>
      <c r="AC6" s="32">
        <f>Z6-AA6</f>
        <v>3.7516887838560942E-10</v>
      </c>
      <c r="AD6" s="18"/>
      <c r="AE6" s="37">
        <v>5.27613739843436E-5</v>
      </c>
    </row>
    <row r="7" spans="1:31" x14ac:dyDescent="0.25">
      <c r="A7" s="23" t="s">
        <v>6</v>
      </c>
      <c r="B7" s="24">
        <v>3.4004352557127311E-2</v>
      </c>
      <c r="C7" s="24">
        <v>1.9722263258974738E-2</v>
      </c>
      <c r="D7" s="24">
        <v>6.6459157460924665E-4</v>
      </c>
      <c r="E7" s="24">
        <v>2.5506542652191703E-4</v>
      </c>
      <c r="F7" s="25">
        <v>2.6379613225884129E-3</v>
      </c>
      <c r="G7" s="25">
        <v>1.1234752857411301E-2</v>
      </c>
      <c r="H7" s="5"/>
      <c r="I7" s="27">
        <f t="shared" si="0"/>
        <v>3.5553480614894135</v>
      </c>
      <c r="J7" s="27">
        <v>35</v>
      </c>
      <c r="K7" s="28">
        <f t="shared" si="1"/>
        <v>-3.3812667461732766</v>
      </c>
      <c r="L7" s="28">
        <f t="shared" si="2"/>
        <v>-3.9260071666683034</v>
      </c>
      <c r="M7" s="28">
        <f t="shared" si="3"/>
        <v>-7.3163378795101659</v>
      </c>
      <c r="N7" s="28">
        <f t="shared" si="4"/>
        <v>-8.2739904711197276</v>
      </c>
      <c r="P7" s="35">
        <f t="shared" ref="P7:P16" si="5">+P6+Q6</f>
        <v>25</v>
      </c>
      <c r="Q7" s="36">
        <v>5</v>
      </c>
      <c r="R7" s="32">
        <f>AB7*EXP(-$Q$1/($Q$2+1)*((P7+Q7)^(Foglio1!$S$2+1)-(P7)^(Foglio1!$S$2+1))+$Q$3*$Q$1/($Q$2+1)*(((P7+Q7/2)^$Q$2)*(P7-Q7/2*$Q$2)-(P7+Q7)^($Q$2+1))+Foglio1!$S$1/(Foglio1!$S$2+1)*(((P7+Q7/2)^Foglio1!$S$2)*(P7-Q7/2*Foglio1!$S$2)-(P7+Q7)^(Foglio1!$S$2+1)))</f>
        <v>9.2279934616525586E-5</v>
      </c>
      <c r="S7" s="32">
        <f>EXP((-AB7+($Q$3*$Q$1*(P7+Q7/2)^$Q$2)+Foglio1!$S$1*(P7+Q7/2)^Foglio1!$S$2)*Q7)-1</f>
        <v>0.16164985685334976</v>
      </c>
      <c r="T7" s="32">
        <f>-AB7+($Q$3*$Q$1*(P7+Q7/2)^$Q$2)+Foglio1!$S$1*(P7+Q7/2)^Foglio1!$S$2</f>
        <v>2.9968257002429496E-2</v>
      </c>
      <c r="U7" s="46">
        <f>EXP((-AB7*Q7)-($Q$1/($Q$2+1))*((P7+Q7)^($Q$2+1)-(P7)^($Q$2+1)))</f>
        <v>0.99661113652998168</v>
      </c>
      <c r="V7" s="46">
        <f t="shared" ref="V7:V16" si="6">V6*U7</f>
        <v>0.99443537854924768</v>
      </c>
      <c r="W7" s="46">
        <f>EXP(-Foglio1!$S$1/(Foglio1!$S$2+1)*((P7+Q7)^(Foglio1!$S$2+1)-(P7)^(Foglio1!$S$2+1))-(1+$Q$3)*$Q$1/($Q$2+1)*((P7+Q7)^($Q$2+1)-(P7)^($Q$2+1)))</f>
        <v>0.85787900097950964</v>
      </c>
      <c r="X7" s="46">
        <f>R7*S7/T7</f>
        <v>4.9776128855236819E-4</v>
      </c>
      <c r="Y7" s="46">
        <f>V6*X7+Y6*W7</f>
        <v>9.2844893182554415E-4</v>
      </c>
      <c r="Z7" s="47">
        <f>F5</f>
        <v>9.327761985885813E-4</v>
      </c>
      <c r="AA7" s="46">
        <f>Y7/(Y7+V7)</f>
        <v>9.3277343036980969E-4</v>
      </c>
      <c r="AB7" s="48">
        <v>1.0770782511143179E-4</v>
      </c>
      <c r="AC7" s="32">
        <f>Z7-AA7</f>
        <v>2.7682187716138867E-9</v>
      </c>
      <c r="AD7" s="18"/>
      <c r="AE7" s="37">
        <v>9.8323206631811976E-5</v>
      </c>
    </row>
    <row r="8" spans="1:31" x14ac:dyDescent="0.25">
      <c r="A8" s="23" t="s">
        <v>7</v>
      </c>
      <c r="B8" s="24">
        <v>4.4855708908406525E-2</v>
      </c>
      <c r="C8" s="24">
        <v>2.0875223924249627E-2</v>
      </c>
      <c r="D8" s="24">
        <v>9.8186781312375256E-4</v>
      </c>
      <c r="E8" s="24">
        <v>4.0552801302388606E-4</v>
      </c>
      <c r="F8" s="25">
        <v>4.4391221886198448E-3</v>
      </c>
      <c r="G8" s="25">
        <v>1.8749503000938156E-2</v>
      </c>
      <c r="H8" s="5"/>
      <c r="I8" s="27">
        <f t="shared" si="0"/>
        <v>3.6888794541139363</v>
      </c>
      <c r="J8" s="27">
        <v>40</v>
      </c>
      <c r="K8" s="28">
        <f t="shared" si="1"/>
        <v>-3.1043044096501982</v>
      </c>
      <c r="L8" s="28">
        <f t="shared" si="2"/>
        <v>-3.8691922813925892</v>
      </c>
      <c r="M8" s="28">
        <f t="shared" si="3"/>
        <v>-6.9260538685241402</v>
      </c>
      <c r="N8" s="28">
        <f t="shared" si="4"/>
        <v>-7.8103206041219426</v>
      </c>
      <c r="P8" s="38">
        <f t="shared" si="5"/>
        <v>30</v>
      </c>
      <c r="Q8" s="34">
        <v>5</v>
      </c>
      <c r="R8" s="32">
        <f>AB8*EXP(-$Q$1/($Q$2+1)*((P8+Q8)^(Foglio1!$S$2+1)-(P8)^(Foglio1!$S$2+1))+$Q$3*$Q$1/($Q$2+1)*(((P8+Q8/2)^$Q$2)*(P8-Q8/2*$Q$2)-(P8+Q8)^($Q$2+1))+Foglio1!$S$1/(Foglio1!$S$2+1)*(((P8+Q8/2)^Foglio1!$S$2)*(P8-Q8/2*Foglio1!$S$2)-(P8+Q8)^(Foglio1!$S$2+1)))</f>
        <v>1.4457502623743852E-4</v>
      </c>
      <c r="S8" s="32">
        <f>EXP((-AB8+($Q$3*$Q$1*(P8+Q8/2)^$Q$2)+Foglio1!$S$1*(P8+Q8/2)^Foglio1!$S$2)*Q8)-1</f>
        <v>0.20150154088906369</v>
      </c>
      <c r="T8" s="32">
        <f>-AB8+($Q$3*$Q$1*(P8+Q8/2)^$Q$2)+Foglio1!$S$1*(P8+Q8/2)^Foglio1!$S$2</f>
        <v>3.6714411732939017E-2</v>
      </c>
      <c r="U8" s="32">
        <f t="shared" ref="U8:U16" si="7">EXP((-AB8*Q8)-($Q$1/($Q$2+1))*((P8+Q8)^($Q$2+1)-(P8)^($Q$2+1)))</f>
        <v>0.99462743644758667</v>
      </c>
      <c r="V8" s="32">
        <f t="shared" si="6"/>
        <v>0.9890927112792236</v>
      </c>
      <c r="W8" s="32">
        <f>EXP(-Foglio1!$S$1/(Foglio1!$S$2+1)*((P8+Q8)^(Foglio1!$S$2+1)-(P8)^(Foglio1!$S$2+1))-(1+$Q$3)*$Q$1/($Q$2+1)*((P8+Q8)^($Q$2+1)-(P8)^($Q$2+1)))</f>
        <v>0.8277794307976255</v>
      </c>
      <c r="X8" s="32">
        <f t="shared" ref="X8:X16" si="8">R8*S8/T8</f>
        <v>7.9347834231494106E-4</v>
      </c>
      <c r="Y8" s="32">
        <f t="shared" ref="Y8:Y16" si="9">V7*X8+Y7*W8</f>
        <v>1.5576138640218003E-3</v>
      </c>
      <c r="Z8" s="47">
        <f t="shared" ref="Z8:Z16" si="10">F6</f>
        <v>1.5723169561723065E-3</v>
      </c>
      <c r="AA8" s="32">
        <f t="shared" ref="AA8:AA16" si="11">Y8/(Y8+V8)</f>
        <v>1.5723144933067817E-3</v>
      </c>
      <c r="AB8" s="48">
        <v>1.7462076586580069E-4</v>
      </c>
      <c r="AC8" s="32">
        <f t="shared" ref="AC8:AC16" si="12">Z8-AA8</f>
        <v>2.4628655248028208E-9</v>
      </c>
      <c r="AD8" s="18"/>
      <c r="AE8" s="37">
        <v>1.6477305753942424E-4</v>
      </c>
    </row>
    <row r="9" spans="1:31" x14ac:dyDescent="0.25">
      <c r="A9" s="23" t="s">
        <v>8</v>
      </c>
      <c r="B9" s="24">
        <v>6.248729932940459E-2</v>
      </c>
      <c r="C9" s="24">
        <v>2.2392443431471603E-2</v>
      </c>
      <c r="D9" s="24">
        <v>1.4288928509460183E-3</v>
      </c>
      <c r="E9" s="24">
        <v>6.5913691934886044E-4</v>
      </c>
      <c r="F9" s="25">
        <v>7.9990668445041723E-3</v>
      </c>
      <c r="G9" s="25">
        <v>2.8427923643049476E-2</v>
      </c>
      <c r="H9" s="5"/>
      <c r="I9" s="27">
        <f t="shared" si="0"/>
        <v>3.8066624897703196</v>
      </c>
      <c r="J9" s="27">
        <v>45</v>
      </c>
      <c r="K9" s="28">
        <f t="shared" si="1"/>
        <v>-2.7727919536194059</v>
      </c>
      <c r="L9" s="28">
        <f t="shared" si="2"/>
        <v>-3.7990317238446814</v>
      </c>
      <c r="M9" s="28">
        <f t="shared" si="3"/>
        <v>-6.5508553646889203</v>
      </c>
      <c r="N9" s="28">
        <f t="shared" si="4"/>
        <v>-7.324579276683199</v>
      </c>
      <c r="P9" s="38">
        <f t="shared" si="5"/>
        <v>35</v>
      </c>
      <c r="Q9" s="34">
        <v>5</v>
      </c>
      <c r="R9" s="32">
        <f>AB9*EXP(-$Q$1/($Q$2+1)*((P9+Q9)^(Foglio1!$S$2+1)-(P9)^(Foglio1!$S$2+1))+$Q$3*$Q$1/($Q$2+1)*(((P9+Q9/2)^$Q$2)*(P9-Q9/2*$Q$2)-(P9+Q9)^($Q$2+1))+Foglio1!$S$1/(Foglio1!$S$2+1)*(((P9+Q9/2)^Foglio1!$S$2)*(P9-Q9/2*Foglio1!$S$2)-(P9+Q9)^(Foglio1!$S$2+1)))</f>
        <v>2.447634851411376E-4</v>
      </c>
      <c r="S9" s="32">
        <f>EXP((-AB9+($Q$3*$Q$1*(P9+Q9/2)^$Q$2)+Foglio1!$S$1*(P9+Q9/2)^Foglio1!$S$2)*Q9)-1</f>
        <v>0.24379659026349065</v>
      </c>
      <c r="T9" s="32">
        <f>-AB9+($Q$3*$Q$1*(P9+Q9/2)^$Q$2)+Foglio1!$S$1*(P9+Q9/2)^Foglio1!$S$2</f>
        <v>4.3633693659481949E-2</v>
      </c>
      <c r="U9" s="32">
        <f t="shared" si="7"/>
        <v>0.99181842662092901</v>
      </c>
      <c r="V9" s="32">
        <f t="shared" si="6"/>
        <v>0.9810003766831884</v>
      </c>
      <c r="W9" s="32">
        <f>EXP(-Foglio1!$S$1/(Foglio1!$S$2+1)*((P9+Q9)^(Foglio1!$S$2+1)-(P9)^(Foglio1!$S$2+1))-(1+$Q$3)*$Q$1/($Q$2+1)*((P9+Q9)^($Q$2+1)-(P9)^($Q$2+1)))</f>
        <v>0.79737681174253316</v>
      </c>
      <c r="X9" s="32">
        <f t="shared" si="8"/>
        <v>1.3675785406594978E-3</v>
      </c>
      <c r="Y9" s="32">
        <f t="shared" si="9"/>
        <v>2.5946671434878572E-3</v>
      </c>
      <c r="Z9" s="47">
        <f t="shared" si="10"/>
        <v>2.6379613225884129E-3</v>
      </c>
      <c r="AA9" s="32">
        <f t="shared" si="11"/>
        <v>2.6379424741642711E-3</v>
      </c>
      <c r="AB9" s="48">
        <v>3.0628166791936016E-4</v>
      </c>
      <c r="AC9" s="32">
        <f t="shared" si="12"/>
        <v>1.884842414177218E-8</v>
      </c>
      <c r="AD9" s="18"/>
      <c r="AE9" s="37">
        <v>2.7319051896365453E-4</v>
      </c>
    </row>
    <row r="10" spans="1:31" x14ac:dyDescent="0.25">
      <c r="A10" s="23" t="s">
        <v>9</v>
      </c>
      <c r="B10" s="24">
        <v>7.7664252457320226E-2</v>
      </c>
      <c r="C10" s="24">
        <v>2.2558363207134738E-2</v>
      </c>
      <c r="D10" s="24">
        <v>2.2276699010388553E-3</v>
      </c>
      <c r="E10" s="24">
        <v>1.1401291457413124E-3</v>
      </c>
      <c r="F10" s="25">
        <v>1.52832880238329E-2</v>
      </c>
      <c r="G10" s="25">
        <v>3.9182565923520568E-2</v>
      </c>
      <c r="H10" s="5"/>
      <c r="I10" s="27">
        <f t="shared" si="0"/>
        <v>3.912023005428146</v>
      </c>
      <c r="J10" s="27">
        <v>50</v>
      </c>
      <c r="K10" s="28">
        <f t="shared" si="1"/>
        <v>-2.5553601988081831</v>
      </c>
      <c r="L10" s="28">
        <f t="shared" si="2"/>
        <v>-3.7916494078595995</v>
      </c>
      <c r="M10" s="28">
        <f t="shared" si="3"/>
        <v>-6.1067991272120627</v>
      </c>
      <c r="N10" s="28">
        <f t="shared" si="4"/>
        <v>-6.7766137372540847</v>
      </c>
      <c r="P10" s="38">
        <f t="shared" si="5"/>
        <v>40</v>
      </c>
      <c r="Q10" s="34">
        <v>5</v>
      </c>
      <c r="R10" s="32">
        <f>AB10*EXP(-$Q$1/($Q$2+1)*((P10+Q10)^(Foglio1!$S$2+1)-(P10)^(Foglio1!$S$2+1))+$Q$3*$Q$1/($Q$2+1)*(((P10+Q10/2)^$Q$2)*(P10-Q10/2*$Q$2)-(P10+Q10)^($Q$2+1))+Foglio1!$S$1/(Foglio1!$S$2+1)*(((P10+Q10/2)^Foglio1!$S$2)*(P10-Q10/2*Foglio1!$S$2)-(P10+Q10)^(Foglio1!$S$2+1)))</f>
        <v>4.1771341749385638E-4</v>
      </c>
      <c r="S10" s="32">
        <f>EXP((-AB10+($Q$3*$Q$1*(P10+Q10/2)^$Q$2)+Foglio1!$S$1*(P10+Q10/2)^Foglio1!$S$2)*Q10)-1</f>
        <v>0.28827931107461136</v>
      </c>
      <c r="T10" s="32">
        <f>-AB10+($Q$3*$Q$1*(P10+Q10/2)^$Q$2)+Foglio1!$S$1*(P10+Q10/2)^Foglio1!$S$2</f>
        <v>5.0661492119318793E-2</v>
      </c>
      <c r="U10" s="32">
        <f t="shared" si="7"/>
        <v>0.98793893186302217</v>
      </c>
      <c r="V10" s="32">
        <f t="shared" si="6"/>
        <v>0.9691684642976115</v>
      </c>
      <c r="W10" s="32">
        <f>EXP(-Foglio1!$S$1/(Foglio1!$S$2+1)*((P10+Q10)^(Foglio1!$S$2+1)-(P10)^(Foglio1!$S$2+1))-(1+$Q$3)*$Q$1/($Q$2+1)*((P10+Q10)^($Q$2+1)-(P10)^($Q$2+1)))</f>
        <v>0.76683626249376702</v>
      </c>
      <c r="X10" s="32">
        <f t="shared" si="8"/>
        <v>2.3769164938557204E-3</v>
      </c>
      <c r="Y10" s="32">
        <f t="shared" si="9"/>
        <v>4.3214408305445526E-3</v>
      </c>
      <c r="Z10" s="47">
        <f t="shared" si="10"/>
        <v>4.4391221886198448E-3</v>
      </c>
      <c r="AA10" s="32">
        <f t="shared" si="11"/>
        <v>4.4391223861490912E-3</v>
      </c>
      <c r="AB10" s="48">
        <v>5.4210152561256131E-4</v>
      </c>
      <c r="AC10" s="32">
        <f t="shared" si="12"/>
        <v>-1.9752924643179348E-10</v>
      </c>
      <c r="AD10" s="18"/>
      <c r="AE10" s="37">
        <v>4.7379884138405487E-4</v>
      </c>
    </row>
    <row r="11" spans="1:31" x14ac:dyDescent="0.25">
      <c r="A11" s="23" t="s">
        <v>10</v>
      </c>
      <c r="B11" s="24">
        <v>8.365787346608862E-2</v>
      </c>
      <c r="C11" s="24">
        <v>2.4198920565004011E-2</v>
      </c>
      <c r="D11" s="24">
        <v>3.4979314414333275E-3</v>
      </c>
      <c r="E11" s="24">
        <v>1.6914373223424746E-3</v>
      </c>
      <c r="F11" s="25">
        <v>2.7759280167745801E-2</v>
      </c>
      <c r="G11" s="25">
        <v>4.803336433788067E-2</v>
      </c>
      <c r="H11" s="5"/>
      <c r="I11" s="27">
        <f t="shared" si="0"/>
        <v>4.0073331852324712</v>
      </c>
      <c r="J11" s="27">
        <v>55</v>
      </c>
      <c r="K11" s="28">
        <f t="shared" si="1"/>
        <v>-2.4810197320565233</v>
      </c>
      <c r="L11" s="28">
        <f t="shared" si="2"/>
        <v>-3.721447251566218</v>
      </c>
      <c r="M11" s="28">
        <f t="shared" si="3"/>
        <v>-5.6555835019393381</v>
      </c>
      <c r="N11" s="28">
        <f t="shared" si="4"/>
        <v>-6.382176624912768</v>
      </c>
      <c r="P11" s="38">
        <f t="shared" si="5"/>
        <v>45</v>
      </c>
      <c r="Q11" s="34">
        <v>5</v>
      </c>
      <c r="R11" s="32">
        <f>AB11*EXP(-$Q$1/($Q$2+1)*((P11+Q11)^(Foglio1!$S$2+1)-(P11)^(Foglio1!$S$2+1))+$Q$3*$Q$1/($Q$2+1)*(((P11+Q11/2)^$Q$2)*(P11-Q11/2*$Q$2)-(P11+Q11)^($Q$2+1))+Foglio1!$S$1/(Foglio1!$S$2+1)*(((P11+Q11/2)^Foglio1!$S$2)*(P11-Q11/2*Foglio1!$S$2)-(P11+Q11)^(Foglio1!$S$2+1)))</f>
        <v>7.9998823812650437E-4</v>
      </c>
      <c r="S11" s="32">
        <f>EXP((-AB11+($Q$3*$Q$1*(P11+Q11/2)^$Q$2)+Foglio1!$S$1*(P11+Q11/2)^Foglio1!$S$2)*Q11)-1</f>
        <v>0.33363926168518532</v>
      </c>
      <c r="T11" s="32">
        <f>-AB11+($Q$3*$Q$1*(P11+Q11/2)^$Q$2)+Foglio1!$S$1*(P11+Q11/2)^Foglio1!$S$2</f>
        <v>5.7582298479380324E-2</v>
      </c>
      <c r="U11" s="32">
        <f t="shared" si="7"/>
        <v>0.9819849601995877</v>
      </c>
      <c r="V11" s="32">
        <f>V10*U11</f>
        <v>0.95170885583998555</v>
      </c>
      <c r="W11" s="32">
        <f>EXP(-Foglio1!$S$1/(Foglio1!$S$2+1)*((P11+Q11)^(Foglio1!$S$2+1)-(P11)^(Foglio1!$S$2+1))-(1+$Q$3)*$Q$1/($Q$2+1)*((P11+Q11)^($Q$2+1)-(P11)^($Q$2+1)))</f>
        <v>0.73629267978727575</v>
      </c>
      <c r="X11" s="32">
        <f t="shared" si="8"/>
        <v>4.6352349971048165E-3</v>
      </c>
      <c r="Y11" s="32">
        <f t="shared" si="9"/>
        <v>7.6741688334664177E-3</v>
      </c>
      <c r="Z11" s="47">
        <f t="shared" si="10"/>
        <v>7.9990668445041723E-3</v>
      </c>
      <c r="AA11" s="32">
        <f t="shared" si="11"/>
        <v>7.9990667294519806E-3</v>
      </c>
      <c r="AB11" s="48">
        <v>1.0777742629360157E-3</v>
      </c>
      <c r="AC11" s="32">
        <f t="shared" si="12"/>
        <v>1.1505219173202352E-10</v>
      </c>
      <c r="AD11" s="18"/>
      <c r="AE11" s="37">
        <v>8.7719219204336672E-4</v>
      </c>
    </row>
    <row r="12" spans="1:31" x14ac:dyDescent="0.25">
      <c r="A12" s="23" t="s">
        <v>11</v>
      </c>
      <c r="B12" s="24">
        <v>8.4749631658677285E-2</v>
      </c>
      <c r="C12" s="24">
        <v>2.7623380698372856E-2</v>
      </c>
      <c r="D12" s="24">
        <v>5.4653300996992766E-3</v>
      </c>
      <c r="E12" s="24">
        <v>2.7385554152470981E-3</v>
      </c>
      <c r="F12" s="25">
        <v>5.2570133766951181E-2</v>
      </c>
      <c r="G12" s="25">
        <v>6.0132900176319282E-2</v>
      </c>
      <c r="H12" s="5"/>
      <c r="I12" s="27">
        <f t="shared" si="0"/>
        <v>4.0943445622221004</v>
      </c>
      <c r="J12" s="27">
        <v>60</v>
      </c>
      <c r="K12" s="28">
        <f t="shared" si="1"/>
        <v>-2.4680538789413196</v>
      </c>
      <c r="L12" s="28">
        <f t="shared" si="2"/>
        <v>-3.5890927381157498</v>
      </c>
      <c r="M12" s="28">
        <f t="shared" si="3"/>
        <v>-5.209330756671064</v>
      </c>
      <c r="N12" s="28">
        <f t="shared" si="4"/>
        <v>-5.9003247183246046</v>
      </c>
      <c r="P12" s="38">
        <f t="shared" si="5"/>
        <v>50</v>
      </c>
      <c r="Q12" s="34">
        <v>5</v>
      </c>
      <c r="R12" s="32">
        <f>AB12*EXP(-$Q$1/($Q$2+1)*((P12+Q12)^(Foglio1!$S$2+1)-(P12)^(Foglio1!$S$2+1))+$Q$3*$Q$1/($Q$2+1)*(((P12+Q12/2)^$Q$2)*(P12-Q12/2*$Q$2)-(P12+Q12)^($Q$2+1))+Foglio1!$S$1/(Foglio1!$S$2+1)*(((P12+Q12/2)^Foglio1!$S$2)*(P12-Q12/2*Foglio1!$S$2)-(P12+Q12)^(Foglio1!$S$2+1)))</f>
        <v>1.5949904859168113E-3</v>
      </c>
      <c r="S12" s="32">
        <f>EXP((-AB12+($Q$3*$Q$1*(P12+Q12/2)^$Q$2)+Foglio1!$S$1*(P12+Q12/2)^Foglio1!$S$2)*Q12)-1</f>
        <v>0.3775458182356537</v>
      </c>
      <c r="T12" s="32">
        <f>-AB12+($Q$3*$Q$1*(P12+Q12/2)^$Q$2)+Foglio1!$S$1*(P12+Q12/2)^Foglio1!$S$2</f>
        <v>6.4060704673766233E-2</v>
      </c>
      <c r="U12" s="32">
        <f t="shared" si="7"/>
        <v>0.97238701654220416</v>
      </c>
      <c r="V12" s="32">
        <f t="shared" si="6"/>
        <v>0.92542933494703827</v>
      </c>
      <c r="W12" s="32">
        <f>EXP(-Foglio1!$S$1/(Foglio1!$S$2+1)*((P12+Q12)^(Foglio1!$S$2+1)-(P12)^(Foglio1!$S$2+1))-(1+$Q$3)*$Q$1/($Q$2+1)*((P12+Q12)^($Q$2+1)-(P12)^($Q$2+1)))</f>
        <v>0.70585958234612489</v>
      </c>
      <c r="X12" s="32">
        <f t="shared" si="8"/>
        <v>9.4001773965834545E-3</v>
      </c>
      <c r="Y12" s="32">
        <f t="shared" si="9"/>
        <v>1.4363117682439587E-2</v>
      </c>
      <c r="Z12" s="47">
        <f t="shared" si="10"/>
        <v>1.52832880238329E-2</v>
      </c>
      <c r="AA12" s="32">
        <f t="shared" si="11"/>
        <v>1.5283286902605489E-2</v>
      </c>
      <c r="AB12" s="48">
        <v>2.2326696855583398E-3</v>
      </c>
      <c r="AC12" s="32">
        <f t="shared" si="12"/>
        <v>1.1212274112631926E-9</v>
      </c>
      <c r="AD12" s="18"/>
      <c r="AE12" s="37">
        <v>1.7374539303634661E-3</v>
      </c>
    </row>
    <row r="13" spans="1:31" x14ac:dyDescent="0.25">
      <c r="A13" s="23" t="s">
        <v>12</v>
      </c>
      <c r="B13" s="24">
        <v>7.925927814029364E-2</v>
      </c>
      <c r="C13" s="24">
        <v>3.1618318187229655E-2</v>
      </c>
      <c r="D13" s="24">
        <v>8.7397296859909757E-3</v>
      </c>
      <c r="E13" s="24">
        <v>4.5452748758986559E-3</v>
      </c>
      <c r="F13" s="25">
        <v>8.2220837932616905E-2</v>
      </c>
      <c r="G13" s="25">
        <v>6.8854267660726817E-2</v>
      </c>
      <c r="H13" s="5"/>
      <c r="I13" s="27">
        <f t="shared" si="0"/>
        <v>4.1743872698956368</v>
      </c>
      <c r="J13" s="27">
        <v>65</v>
      </c>
      <c r="K13" s="28">
        <f t="shared" si="1"/>
        <v>-2.5350307987519392</v>
      </c>
      <c r="L13" s="28">
        <f t="shared" si="2"/>
        <v>-3.4540186368750136</v>
      </c>
      <c r="M13" s="28">
        <f t="shared" si="3"/>
        <v>-4.739876018169304</v>
      </c>
      <c r="N13" s="28">
        <f t="shared" si="4"/>
        <v>-5.3936670744358812</v>
      </c>
      <c r="P13" s="38">
        <f t="shared" si="5"/>
        <v>55</v>
      </c>
      <c r="Q13" s="34">
        <v>5</v>
      </c>
      <c r="R13" s="32">
        <f>AB13*EXP(-$Q$1/($Q$2+1)*((P13+Q13)^(Foglio1!$S$2+1)-(P13)^(Foglio1!$S$2+1))+$Q$3*$Q$1/($Q$2+1)*(((P13+Q13/2)^$Q$2)*(P13-Q13/2*$Q$2)-(P13+Q13)^($Q$2+1))+Foglio1!$S$1/(Foglio1!$S$2+1)*(((P13+Q13/2)^Foglio1!$S$2)*(P13-Q13/2*Foglio1!$S$2)-(P13+Q13)^(Foglio1!$S$2+1)))</f>
        <v>2.8209141688594094E-3</v>
      </c>
      <c r="S13" s="32">
        <f>EXP((-AB13+($Q$3*$Q$1*(P13+Q13/2)^$Q$2)+Foglio1!$S$1*(P13+Q13/2)^Foglio1!$S$2)*Q13)-1</f>
        <v>0.41895481642097376</v>
      </c>
      <c r="T13" s="32">
        <f>-AB13+($Q$3*$Q$1*(P13+Q13/2)^$Q$2)+Foglio1!$S$1*(P13+Q13/2)^Foglio1!$S$2</f>
        <v>6.9984111165051766E-2</v>
      </c>
      <c r="U13" s="32">
        <f t="shared" si="7"/>
        <v>0.95872546727209662</v>
      </c>
      <c r="V13" s="32">
        <f t="shared" si="6"/>
        <v>0.88723267157440489</v>
      </c>
      <c r="W13" s="32">
        <f>EXP(-Foglio1!$S$1/(Foglio1!$S$2+1)*((P13+Q13)^(Foglio1!$S$2+1)-(P13)^(Foglio1!$S$2+1))-(1+$Q$3)*$Q$1/($Q$2+1)*((P13+Q13)^($Q$2+1)-(P13)^($Q$2+1)))</f>
        <v>0.67563466471405009</v>
      </c>
      <c r="X13" s="32">
        <f t="shared" si="8"/>
        <v>1.688719850948104E-2</v>
      </c>
      <c r="Y13" s="32">
        <f t="shared" si="9"/>
        <v>2.533212908537117E-2</v>
      </c>
      <c r="Z13" s="47">
        <f t="shared" si="10"/>
        <v>2.7759280167745801E-2</v>
      </c>
      <c r="AA13" s="32">
        <f t="shared" si="11"/>
        <v>2.7759266045607141E-2</v>
      </c>
      <c r="AB13" s="48">
        <v>4.1061080312609971E-3</v>
      </c>
      <c r="AC13" s="32">
        <f>Z13-AA13</f>
        <v>1.4122138659866668E-8</v>
      </c>
      <c r="AD13" s="18"/>
      <c r="AE13" s="37">
        <v>3.4734138832420098E-3</v>
      </c>
    </row>
    <row r="14" spans="1:31" x14ac:dyDescent="0.25">
      <c r="A14" s="23" t="s">
        <v>13</v>
      </c>
      <c r="B14" s="24">
        <v>7.7495057944467621E-2</v>
      </c>
      <c r="C14" s="24">
        <v>3.6299713163029504E-2</v>
      </c>
      <c r="D14" s="24">
        <v>1.4102730493372137E-2</v>
      </c>
      <c r="E14" s="24">
        <v>8.0472039799855035E-3</v>
      </c>
      <c r="F14" s="25">
        <v>0.11695478980546854</v>
      </c>
      <c r="G14" s="25">
        <v>7.9586493604292985E-2</v>
      </c>
      <c r="H14" s="5"/>
      <c r="I14" s="27">
        <f t="shared" si="0"/>
        <v>4.2484952420493594</v>
      </c>
      <c r="J14" s="27">
        <v>70</v>
      </c>
      <c r="K14" s="28">
        <f t="shared" si="1"/>
        <v>-2.5575411131146129</v>
      </c>
      <c r="L14" s="28">
        <f t="shared" si="2"/>
        <v>-3.3159454395874688</v>
      </c>
      <c r="M14" s="28">
        <f t="shared" si="3"/>
        <v>-4.2613868483339363</v>
      </c>
      <c r="N14" s="28">
        <f t="shared" si="4"/>
        <v>-4.8224305795641031</v>
      </c>
      <c r="P14" s="38">
        <f t="shared" si="5"/>
        <v>60</v>
      </c>
      <c r="Q14" s="34">
        <v>5</v>
      </c>
      <c r="R14" s="32">
        <f>AB14*EXP(-$Q$1/($Q$2+1)*((P14+Q14)^(Foglio1!$S$2+1)-(P14)^(Foglio1!$S$2+1))+$Q$3*$Q$1/($Q$2+1)*(((P14+Q14/2)^$Q$2)*(P14-Q14/2*$Q$2)-(P14+Q14)^($Q$2+1))+Foglio1!$S$1/(Foglio1!$S$2+1)*(((P14+Q14/2)^Foglio1!$S$2)*(P14-Q14/2*Foglio1!$S$2)-(P14+Q14)^(Foglio1!$S$2+1)))</f>
        <v>5.5171042378962341E-3</v>
      </c>
      <c r="S14" s="32">
        <f>EXP((-AB14+($Q$3*$Q$1*(P14+Q14/2)^$Q$2)+Foglio1!$S$1*(P14+Q14/2)^Foglio1!$S$2)*Q14)-1</f>
        <v>0.44543701880411635</v>
      </c>
      <c r="T14" s="32">
        <f>-AB14+($Q$3*$Q$1*(P14+Q14/2)^$Q$2)+Foglio1!$S$1*(P14+Q14/2)^Foglio1!$S$2</f>
        <v>7.3682342199731965E-2</v>
      </c>
      <c r="U14" s="32">
        <f t="shared" si="7"/>
        <v>0.93335139661454924</v>
      </c>
      <c r="V14" s="32">
        <f t="shared" si="6"/>
        <v>0.82809985313602852</v>
      </c>
      <c r="W14" s="32">
        <f>EXP(-Foglio1!$S$1/(Foglio1!$S$2+1)*((P14+Q14)^(Foglio1!$S$2+1)-(P14)^(Foglio1!$S$2+1))-(1+$Q$3)*$Q$1/($Q$2+1)*((P14+Q14)^($Q$2+1)-(P14)^($Q$2+1)))</f>
        <v>0.64570343966065591</v>
      </c>
      <c r="X14" s="32">
        <f t="shared" si="8"/>
        <v>3.3352936277438183E-2</v>
      </c>
      <c r="Y14" s="32">
        <f t="shared" si="9"/>
        <v>4.5948857642634275E-2</v>
      </c>
      <c r="Z14" s="47">
        <f t="shared" si="10"/>
        <v>5.2570133766951181E-2</v>
      </c>
      <c r="AA14" s="32">
        <f t="shared" si="11"/>
        <v>5.2570133764856045E-2</v>
      </c>
      <c r="AB14" s="48">
        <v>8.3570675857534485E-3</v>
      </c>
      <c r="AC14" s="32">
        <f t="shared" si="12"/>
        <v>2.0951365642396524E-12</v>
      </c>
      <c r="AD14" s="18"/>
      <c r="AE14" s="37">
        <v>6.4347393368732811E-3</v>
      </c>
    </row>
    <row r="15" spans="1:31" x14ac:dyDescent="0.25">
      <c r="A15" s="16"/>
      <c r="B15" s="20"/>
      <c r="C15" s="16"/>
      <c r="D15" s="6"/>
      <c r="E15" s="6"/>
      <c r="F15" s="21"/>
      <c r="G15" s="21"/>
      <c r="H15" s="5"/>
      <c r="K15" s="22"/>
      <c r="L15" s="2"/>
      <c r="M15" s="2"/>
      <c r="N15" s="2"/>
      <c r="P15" s="38">
        <f t="shared" si="5"/>
        <v>65</v>
      </c>
      <c r="Q15" s="34">
        <v>5</v>
      </c>
      <c r="R15" s="32">
        <f>AB15*EXP(-$Q$1/($Q$2+1)*((P15+Q15)^(Foglio1!$S$2+1)-(P15)^(Foglio1!$S$2+1))+$Q$3*$Q$1/($Q$2+1)*(((P15+Q15/2)^$Q$2)*(P15-Q15/2*$Q$2)-(P15+Q15)^($Q$2+1))+Foglio1!$S$1/(Foglio1!$S$2+1)*(((P15+Q15/2)^Foglio1!$S$2)*(P15-Q15/2*Foglio1!$S$2)-(P15+Q15)^(Foglio1!$S$2+1)))</f>
        <v>7.7381389998703691E-3</v>
      </c>
      <c r="S15" s="32">
        <f>EXP((-AB15+($Q$3*$Q$1*(P15+Q15/2)^$Q$2)+Foglio1!$S$1*(P15+Q15/2)^Foglio1!$S$2)*Q15)-1</f>
        <v>0.47642642384840794</v>
      </c>
      <c r="T15" s="32">
        <f>-AB15+($Q$3*$Q$1*(P15+Q15/2)^$Q$2)+Foglio1!$S$1*(P15+Q15/2)^Foglio1!$S$2</f>
        <v>7.7924917899920176E-2</v>
      </c>
      <c r="U15" s="32">
        <f t="shared" si="7"/>
        <v>0.90971335925746855</v>
      </c>
      <c r="V15" s="32">
        <f t="shared" si="6"/>
        <v>0.75333349919699288</v>
      </c>
      <c r="W15" s="32">
        <f>EXP(-Foglio1!$S$1/(Foglio1!$S$2+1)*((P15+Q15)^(Foglio1!$S$2+1)-(P15)^(Foglio1!$S$2+1))-(1+$Q$3)*$Q$1/($Q$2+1)*((P15+Q15)^($Q$2+1)-(P15)^($Q$2+1)))</f>
        <v>0.61614170315744354</v>
      </c>
      <c r="X15" s="32">
        <f t="shared" si="8"/>
        <v>4.7310333976674133E-2</v>
      </c>
      <c r="Y15" s="32">
        <f t="shared" si="9"/>
        <v>6.7488688023971899E-2</v>
      </c>
      <c r="Z15" s="47">
        <f t="shared" si="10"/>
        <v>8.2220837932616905E-2</v>
      </c>
      <c r="AA15" s="32">
        <f t="shared" si="11"/>
        <v>8.2220837928938667E-2</v>
      </c>
      <c r="AB15" s="48">
        <v>1.2206443382102937E-2</v>
      </c>
      <c r="AC15" s="32">
        <f t="shared" si="12"/>
        <v>3.6782382695221827E-12</v>
      </c>
      <c r="AD15" s="18"/>
      <c r="AE15" s="37">
        <v>1.1009190170646103E-2</v>
      </c>
    </row>
    <row r="16" spans="1:31" x14ac:dyDescent="0.25">
      <c r="H16" s="5"/>
      <c r="K16" s="7"/>
      <c r="L16" s="7"/>
      <c r="M16" s="7"/>
      <c r="N16" s="7"/>
      <c r="P16" s="38">
        <f t="shared" si="5"/>
        <v>70</v>
      </c>
      <c r="Q16" s="34">
        <v>5</v>
      </c>
      <c r="R16" s="32">
        <f>AB16*EXP(-$Q$1/($Q$2+1)*((P16+Q16)^(Foglio1!$S$2+1)-(P16)^(Foglio1!$S$2+1))+$Q$3*$Q$1/($Q$2+1)*(((P16+Q16/2)^$Q$2)*(P16-Q16/2*$Q$2)-(P16+Q16)^($Q$2+1))+Foglio1!$S$1/(Foglio1!$S$2+1)*(((P16+Q16/2)^Foglio1!$S$2)*(P16-Q16/2*Foglio1!$S$2)-(P16+Q16)^(Foglio1!$S$2+1)))</f>
        <v>1.0397232818575458E-2</v>
      </c>
      <c r="S16" s="32">
        <f>EXP((-AB16+($Q$3*$Q$1*(P16+Q16/2)^$Q$2)+Foglio1!$S$1*(P16+Q16/2)^Foglio1!$S$2)*Q16)-1</f>
        <v>0.50130284157092331</v>
      </c>
      <c r="T16" s="32">
        <f>-AB16+($Q$3*$Q$1*(P16+Q16/2)^$Q$2)+Foglio1!$S$1*(P16+Q16/2)^Foglio1!$S$2</f>
        <v>8.1266658434914346E-2</v>
      </c>
      <c r="U16" s="32">
        <f t="shared" si="7"/>
        <v>0.88131398979262787</v>
      </c>
      <c r="V16" s="32">
        <f t="shared" si="6"/>
        <v>0.66392335182174322</v>
      </c>
      <c r="W16" s="32">
        <f>EXP(-Foglio1!$S$1/(Foglio1!$S$2+1)*((P16+Q16)^(Foglio1!$S$2+1)-(P16)^(Foglio1!$S$2+1))-(1+$Q$3)*$Q$1/($Q$2+1)*((P16+Q16)^($Q$2+1)-(P16)^($Q$2+1)))</f>
        <v>0.58701724037147551</v>
      </c>
      <c r="X16" s="32">
        <f t="shared" si="8"/>
        <v>6.4136540825050728E-2</v>
      </c>
      <c r="Y16" s="32">
        <f t="shared" si="9"/>
        <v>8.793322812624968E-2</v>
      </c>
      <c r="Z16" s="47">
        <f t="shared" si="10"/>
        <v>0.11695478980546854</v>
      </c>
      <c r="AA16" s="32">
        <f t="shared" si="11"/>
        <v>0.11695478961204563</v>
      </c>
      <c r="AB16" s="48">
        <v>1.7091106987882732E-2</v>
      </c>
      <c r="AC16" s="32">
        <f t="shared" si="12"/>
        <v>1.9342291657231669E-10</v>
      </c>
      <c r="AD16" s="18"/>
      <c r="AE16" s="37">
        <v>1.5907566310980659E-2</v>
      </c>
    </row>
    <row r="17" spans="8:29" x14ac:dyDescent="0.25">
      <c r="H17" s="5"/>
      <c r="J17" s="61" t="s">
        <v>17</v>
      </c>
      <c r="K17" s="59" t="s">
        <v>29</v>
      </c>
      <c r="L17" s="60"/>
      <c r="P17" s="19"/>
      <c r="Q17" s="5"/>
      <c r="U17" s="1"/>
      <c r="AA17" s="17"/>
    </row>
    <row r="18" spans="8:29" x14ac:dyDescent="0.25">
      <c r="J18" s="62"/>
      <c r="K18" s="23" t="s">
        <v>1</v>
      </c>
      <c r="L18" s="23" t="s">
        <v>2</v>
      </c>
      <c r="P18" s="19"/>
      <c r="Q18" s="5"/>
      <c r="U18" s="1"/>
      <c r="AA18" s="17"/>
    </row>
    <row r="19" spans="8:29" x14ac:dyDescent="0.25">
      <c r="I19" s="67" t="s">
        <v>52</v>
      </c>
      <c r="J19" s="31" t="s">
        <v>50</v>
      </c>
      <c r="K19" s="39">
        <f>EXP(INTERCEPT(K4:K14,LN($J$4:$J$14)))</f>
        <v>5.2353139796332423E-4</v>
      </c>
      <c r="L19" s="39">
        <f>EXP(INTERCEPT(L4:L14,LN($J$4:$J$14)))</f>
        <v>8.6581512057235693E-4</v>
      </c>
      <c r="P19" s="19"/>
      <c r="Q19" s="5"/>
      <c r="U19" s="1"/>
      <c r="AA19" s="17"/>
    </row>
    <row r="20" spans="8:29" x14ac:dyDescent="0.25">
      <c r="I20" s="67"/>
      <c r="J20" s="31" t="s">
        <v>51</v>
      </c>
      <c r="K20" s="39">
        <f>SLOPE(K4:K14,LN($J$4:$J$14))</f>
        <v>1.222286440716976</v>
      </c>
      <c r="L20" s="39">
        <f>SLOPE(L4:L14,LN($J$4:$J$14))</f>
        <v>0.85744826815624264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8:29" x14ac:dyDescent="0.25">
      <c r="I21" s="50" t="s">
        <v>48</v>
      </c>
      <c r="J21" s="30" t="s">
        <v>21</v>
      </c>
      <c r="K21" s="33">
        <f>INDEX(LINEST(K4:K14,LN($J$4:$J$14),TRUE,TRUE),3,2)</f>
        <v>0.16728233779011531</v>
      </c>
      <c r="L21" s="33">
        <f t="shared" ref="L21" si="13">INDEX(LINEST(L4:L14,LN($J$4:$J$14),TRUE,TRUE),3,2)</f>
        <v>9.3567348301614645E-2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8:29" ht="16.5" customHeight="1" x14ac:dyDescent="0.25">
      <c r="I22" s="50"/>
      <c r="J22" s="61" t="s">
        <v>16</v>
      </c>
      <c r="K22" s="59" t="s">
        <v>29</v>
      </c>
      <c r="L22" s="60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8:29" x14ac:dyDescent="0.25">
      <c r="I23" s="50"/>
      <c r="J23" s="62"/>
      <c r="K23" s="23" t="s">
        <v>1</v>
      </c>
      <c r="L23" s="23" t="s">
        <v>2</v>
      </c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8:29" x14ac:dyDescent="0.25">
      <c r="I24" s="67" t="s">
        <v>52</v>
      </c>
      <c r="J24" s="34" t="s">
        <v>46</v>
      </c>
      <c r="K24" s="39">
        <f>EXP(INTERCEPT(K4:K14,$J$4:$J$14))</f>
        <v>1.3403791435876392E-2</v>
      </c>
      <c r="L24" s="39">
        <f t="shared" ref="L24" si="14">EXP(INTERCEPT(L4:L14,$J$4:$J$14))</f>
        <v>8.4297254631216182E-3</v>
      </c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8:29" x14ac:dyDescent="0.25">
      <c r="I25" s="67"/>
      <c r="J25" s="34" t="s">
        <v>47</v>
      </c>
      <c r="K25" s="39">
        <f>SLOPE(K4:K14,$J$4:$J$14)</f>
        <v>2.9435001148207827E-2</v>
      </c>
      <c r="L25" s="39">
        <f t="shared" ref="L25" si="15">SLOPE(L4:L14,$J$4:$J$14)</f>
        <v>2.0625467168690861E-2</v>
      </c>
      <c r="P25"/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8:29" x14ac:dyDescent="0.25">
      <c r="I26" s="50" t="s">
        <v>48</v>
      </c>
      <c r="J26" s="30" t="s">
        <v>21</v>
      </c>
      <c r="K26" s="33">
        <f>INDEX(LINEST(K4:K14,$J$4:$J$14,TRUE,TRUE),3,2)</f>
        <v>0.19494800759913256</v>
      </c>
      <c r="L26" s="33">
        <f t="shared" ref="L26" si="16">INDEX(LINEST(L4:L14,$J$4:$J$14,TRUE,TRUE),3,2)</f>
        <v>0.1182510357452477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</row>
    <row r="27" spans="8:29" x14ac:dyDescent="0.25">
      <c r="P27"/>
      <c r="Q27"/>
      <c r="R27"/>
      <c r="S27"/>
      <c r="T27"/>
      <c r="U27"/>
      <c r="V27"/>
      <c r="W27"/>
      <c r="X27"/>
      <c r="Y27"/>
      <c r="Z27"/>
      <c r="AA27"/>
      <c r="AB27"/>
      <c r="AC27"/>
    </row>
    <row r="28" spans="8:29" x14ac:dyDescent="0.25">
      <c r="J28" s="61" t="s">
        <v>17</v>
      </c>
      <c r="K28" s="59" t="s">
        <v>30</v>
      </c>
      <c r="L28" s="60"/>
      <c r="P28"/>
      <c r="Q28"/>
      <c r="R28"/>
      <c r="S28"/>
      <c r="T28"/>
      <c r="U28"/>
      <c r="V28"/>
      <c r="W28"/>
      <c r="X28"/>
      <c r="Y28"/>
      <c r="Z28"/>
      <c r="AA28"/>
      <c r="AB28"/>
      <c r="AC28"/>
    </row>
    <row r="29" spans="8:29" x14ac:dyDescent="0.25">
      <c r="J29" s="62"/>
      <c r="K29" s="23" t="s">
        <v>1</v>
      </c>
      <c r="L29" s="23" t="s">
        <v>2</v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</row>
    <row r="30" spans="8:29" x14ac:dyDescent="0.25">
      <c r="I30" s="67" t="s">
        <v>49</v>
      </c>
      <c r="J30" s="31" t="s">
        <v>50</v>
      </c>
      <c r="K30" s="49">
        <f>EXP(INTERCEPT(M4:M14,LN($J$4:$J$14)))</f>
        <v>6.2240078428185662E-8</v>
      </c>
      <c r="L30" s="49">
        <f>EXP(INTERCEPT(N4:N14,LN($J$4:$J$14)))</f>
        <v>3.6154326847254505E-9</v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</row>
    <row r="31" spans="8:29" x14ac:dyDescent="0.25">
      <c r="I31" s="67"/>
      <c r="J31" s="31" t="s">
        <v>51</v>
      </c>
      <c r="K31" s="39">
        <f>SLOPE(M4:M14,LN($J$4:$J$14))</f>
        <v>2.7511762287044763</v>
      </c>
      <c r="L31" s="39">
        <f>SLOPE(N4:N14,LN($J$4:$J$14))</f>
        <v>3.2841077635115048</v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</row>
    <row r="32" spans="8:29" x14ac:dyDescent="0.25">
      <c r="I32" s="50" t="s">
        <v>48</v>
      </c>
      <c r="J32" s="30" t="s">
        <v>21</v>
      </c>
      <c r="K32" s="33">
        <f>INDEX(LINEST(M4:M14,LN($J$4:$J$14),TRUE,TRUE),3,2)</f>
        <v>0.46312449918181231</v>
      </c>
      <c r="L32" s="33">
        <f>INDEX(LINEST(N4:N14,LN($J$4:$J$14),TRUE,TRUE),3,2)</f>
        <v>0.47690536496152153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</row>
    <row r="33" spans="9:12" x14ac:dyDescent="0.25">
      <c r="I33" s="50"/>
      <c r="J33" s="61" t="s">
        <v>16</v>
      </c>
      <c r="K33" s="59" t="s">
        <v>30</v>
      </c>
      <c r="L33" s="60"/>
    </row>
    <row r="34" spans="9:12" x14ac:dyDescent="0.25">
      <c r="I34" s="50"/>
      <c r="J34" s="62"/>
      <c r="K34" s="23" t="s">
        <v>1</v>
      </c>
      <c r="L34" s="23" t="s">
        <v>2</v>
      </c>
    </row>
    <row r="35" spans="9:12" x14ac:dyDescent="0.25">
      <c r="I35" s="67" t="s">
        <v>49</v>
      </c>
      <c r="J35" s="34" t="s">
        <v>46</v>
      </c>
      <c r="K35" s="39">
        <f>EXP(INTERCEPT(M4:M14,$J$4:$J$14))</f>
        <v>7.4235242447817163E-5</v>
      </c>
      <c r="L35" s="39">
        <f>EXP(INTERCEPT(N4:N14,$J$4:$J$14))</f>
        <v>1.761441879178287E-5</v>
      </c>
    </row>
    <row r="36" spans="9:12" x14ac:dyDescent="0.25">
      <c r="I36" s="67"/>
      <c r="J36" s="34" t="s">
        <v>47</v>
      </c>
      <c r="K36" s="39">
        <f>SLOPE(M4:M14,$J$4:$J$14)</f>
        <v>7.1027104762012225E-2</v>
      </c>
      <c r="L36" s="39">
        <f>SLOPE(N4:N14,$J$4:$J$14)</f>
        <v>8.4007514630595359E-2</v>
      </c>
    </row>
    <row r="37" spans="9:12" x14ac:dyDescent="0.25">
      <c r="I37" s="50" t="s">
        <v>48</v>
      </c>
      <c r="J37" s="30" t="s">
        <v>21</v>
      </c>
      <c r="K37" s="33">
        <f>INDEX(LINEST(M4:M14,$J$4:$J$14,TRUE,TRUE),3,2)</f>
        <v>0.25499361636890139</v>
      </c>
      <c r="L37" s="33">
        <f>INDEX(LINEST(N4:N14,$J$4:$J$14,TRUE,TRUE),3,2)</f>
        <v>0.23367347018134896</v>
      </c>
    </row>
  </sheetData>
  <mergeCells count="22">
    <mergeCell ref="I35:I36"/>
    <mergeCell ref="A2:A3"/>
    <mergeCell ref="B2:C2"/>
    <mergeCell ref="D2:E2"/>
    <mergeCell ref="F2:G2"/>
    <mergeCell ref="I24:I25"/>
    <mergeCell ref="I30:I31"/>
    <mergeCell ref="K2:L2"/>
    <mergeCell ref="R4:T4"/>
    <mergeCell ref="J17:J18"/>
    <mergeCell ref="J22:J23"/>
    <mergeCell ref="B1:C1"/>
    <mergeCell ref="D1:E1"/>
    <mergeCell ref="F1:G1"/>
    <mergeCell ref="M2:N2"/>
    <mergeCell ref="K17:L17"/>
    <mergeCell ref="I19:I20"/>
    <mergeCell ref="K28:L28"/>
    <mergeCell ref="K22:L22"/>
    <mergeCell ref="K33:L33"/>
    <mergeCell ref="J28:J29"/>
    <mergeCell ref="J33:J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D137-9B93-45B5-A04E-C5967A483D45}">
  <dimension ref="A1:F12"/>
  <sheetViews>
    <sheetView workbookViewId="0">
      <selection activeCell="F17" sqref="F17"/>
    </sheetView>
  </sheetViews>
  <sheetFormatPr defaultRowHeight="15" x14ac:dyDescent="0.25"/>
  <cols>
    <col min="1" max="1" width="9.140625" style="54"/>
    <col min="2" max="5" width="15.5703125" style="54" customWidth="1"/>
    <col min="6" max="6" width="15.5703125" customWidth="1"/>
  </cols>
  <sheetData>
    <row r="1" spans="1:6" x14ac:dyDescent="0.25">
      <c r="A1" s="55" t="s">
        <v>62</v>
      </c>
      <c r="B1" s="55" t="s">
        <v>60</v>
      </c>
      <c r="C1" s="55" t="s">
        <v>61</v>
      </c>
      <c r="D1" s="55" t="s">
        <v>58</v>
      </c>
      <c r="E1" s="55" t="s">
        <v>59</v>
      </c>
      <c r="F1" t="s">
        <v>63</v>
      </c>
    </row>
    <row r="2" spans="1:6" x14ac:dyDescent="0.25">
      <c r="A2" s="27">
        <v>20</v>
      </c>
      <c r="B2" s="56">
        <v>2.4258760107816711E-2</v>
      </c>
      <c r="C2" s="56">
        <v>9.7613882863340565E-3</v>
      </c>
      <c r="D2" s="56">
        <v>4.8587242190248266E-4</v>
      </c>
      <c r="E2" s="56">
        <v>1.5491036803468822E-4</v>
      </c>
      <c r="F2">
        <v>1.07160159108182E-4</v>
      </c>
    </row>
    <row r="3" spans="1:6" x14ac:dyDescent="0.25">
      <c r="A3" s="27">
        <v>25</v>
      </c>
      <c r="B3" s="56">
        <v>2.4532710280373831E-2</v>
      </c>
      <c r="C3" s="56">
        <v>1.5267175572519083E-2</v>
      </c>
      <c r="D3" s="56">
        <v>5.2066427449255109E-4</v>
      </c>
      <c r="E3" s="56">
        <v>1.5246521494860572E-4</v>
      </c>
      <c r="F3">
        <v>1.0770782511143179E-4</v>
      </c>
    </row>
    <row r="4" spans="1:6" x14ac:dyDescent="0.25">
      <c r="A4" s="27">
        <v>30</v>
      </c>
      <c r="B4" s="56">
        <v>2.7820710973724884E-2</v>
      </c>
      <c r="C4" s="56">
        <v>1.7447827574409852E-2</v>
      </c>
      <c r="D4" s="56">
        <v>5.6630525996272346E-4</v>
      </c>
      <c r="E4" s="56">
        <v>1.8676500942438191E-4</v>
      </c>
      <c r="F4">
        <v>1.7462076586580069E-4</v>
      </c>
    </row>
    <row r="5" spans="1:6" x14ac:dyDescent="0.25">
      <c r="A5" s="27">
        <v>35</v>
      </c>
      <c r="B5" s="56">
        <v>3.4004352557127311E-2</v>
      </c>
      <c r="C5" s="56">
        <v>1.9722263258974738E-2</v>
      </c>
      <c r="D5" s="56">
        <v>6.6459157460924665E-4</v>
      </c>
      <c r="E5" s="56">
        <v>2.5506542652191703E-4</v>
      </c>
      <c r="F5">
        <v>3.0628166791936016E-4</v>
      </c>
    </row>
    <row r="6" spans="1:6" x14ac:dyDescent="0.25">
      <c r="A6" s="27">
        <v>40</v>
      </c>
      <c r="B6" s="56">
        <v>4.4855708908406525E-2</v>
      </c>
      <c r="C6" s="56">
        <v>2.0875223924249627E-2</v>
      </c>
      <c r="D6" s="56">
        <v>9.8186781312375256E-4</v>
      </c>
      <c r="E6" s="56">
        <v>4.0552801302388606E-4</v>
      </c>
      <c r="F6">
        <v>5.4210152561256131E-4</v>
      </c>
    </row>
    <row r="7" spans="1:6" x14ac:dyDescent="0.25">
      <c r="A7" s="27">
        <v>45</v>
      </c>
      <c r="B7" s="56">
        <v>6.248729932940459E-2</v>
      </c>
      <c r="C7" s="56">
        <v>2.2392443431471603E-2</v>
      </c>
      <c r="D7" s="56">
        <v>1.4288928509460183E-3</v>
      </c>
      <c r="E7" s="56">
        <v>6.5913691934886044E-4</v>
      </c>
      <c r="F7">
        <v>1.0777742629360157E-3</v>
      </c>
    </row>
    <row r="8" spans="1:6" x14ac:dyDescent="0.25">
      <c r="A8" s="27">
        <v>50</v>
      </c>
      <c r="B8" s="56">
        <v>7.7664252457320226E-2</v>
      </c>
      <c r="C8" s="56">
        <v>2.2558363207134738E-2</v>
      </c>
      <c r="D8" s="56">
        <v>2.2276699010388553E-3</v>
      </c>
      <c r="E8" s="56">
        <v>1.1401291457413124E-3</v>
      </c>
      <c r="F8">
        <v>2.2326696855583398E-3</v>
      </c>
    </row>
    <row r="9" spans="1:6" x14ac:dyDescent="0.25">
      <c r="A9" s="27">
        <v>55</v>
      </c>
      <c r="B9" s="56">
        <v>8.365787346608862E-2</v>
      </c>
      <c r="C9" s="56">
        <v>2.4198920565004011E-2</v>
      </c>
      <c r="D9" s="56">
        <v>3.4979314414333275E-3</v>
      </c>
      <c r="E9" s="56">
        <v>1.6914373223424746E-3</v>
      </c>
      <c r="F9">
        <v>4.1061080312609971E-3</v>
      </c>
    </row>
    <row r="10" spans="1:6" x14ac:dyDescent="0.25">
      <c r="A10" s="27">
        <v>60</v>
      </c>
      <c r="B10" s="56">
        <v>8.4749631658677285E-2</v>
      </c>
      <c r="C10" s="56">
        <v>2.7623380698372856E-2</v>
      </c>
      <c r="D10" s="56">
        <v>5.4653300996992766E-3</v>
      </c>
      <c r="E10" s="56">
        <v>2.7385554152470981E-3</v>
      </c>
      <c r="F10">
        <v>8.3570675857534485E-3</v>
      </c>
    </row>
    <row r="11" spans="1:6" x14ac:dyDescent="0.25">
      <c r="A11" s="27">
        <v>65</v>
      </c>
      <c r="B11" s="56">
        <v>7.925927814029364E-2</v>
      </c>
      <c r="C11" s="56">
        <v>3.1618318187229655E-2</v>
      </c>
      <c r="D11" s="56">
        <v>8.7397296859909757E-3</v>
      </c>
      <c r="E11" s="56">
        <v>4.5452748758986559E-3</v>
      </c>
      <c r="F11">
        <v>1.2206443382102937E-2</v>
      </c>
    </row>
    <row r="12" spans="1:6" x14ac:dyDescent="0.25">
      <c r="A12" s="27">
        <v>70</v>
      </c>
      <c r="B12" s="56">
        <v>7.7495057944467621E-2</v>
      </c>
      <c r="C12" s="56">
        <v>3.6299713163029504E-2</v>
      </c>
      <c r="D12" s="56">
        <v>1.4102730493372137E-2</v>
      </c>
      <c r="E12" s="56">
        <v>8.0472039799855035E-3</v>
      </c>
      <c r="F12">
        <v>1.7091106987882732E-2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8584-D47E-4F6D-A75C-1BBB9B8BCA66}">
  <dimension ref="A1:N14"/>
  <sheetViews>
    <sheetView zoomScaleNormal="100" workbookViewId="0">
      <selection activeCell="N3" sqref="N3:N12"/>
    </sheetView>
  </sheetViews>
  <sheetFormatPr defaultRowHeight="15" x14ac:dyDescent="0.25"/>
  <cols>
    <col min="2" max="2" width="18.85546875" style="58" customWidth="1"/>
    <col min="4" max="5" width="9.140625" style="54"/>
    <col min="7" max="7" width="14.140625" customWidth="1"/>
  </cols>
  <sheetData>
    <row r="1" spans="1:14" x14ac:dyDescent="0.25">
      <c r="D1" s="54" t="s">
        <v>62</v>
      </c>
      <c r="E1" s="54" t="s">
        <v>63</v>
      </c>
      <c r="F1" t="s">
        <v>71</v>
      </c>
      <c r="G1" t="s">
        <v>70</v>
      </c>
    </row>
    <row r="2" spans="1:14" x14ac:dyDescent="0.25">
      <c r="A2" t="s">
        <v>64</v>
      </c>
      <c r="B2" s="58">
        <f>LN(1.02)</f>
        <v>1.980262729617973E-2</v>
      </c>
      <c r="D2" s="54">
        <v>20</v>
      </c>
      <c r="E2" s="54">
        <f>Foglio1!AB6</f>
        <v>1.07160159108182E-4</v>
      </c>
      <c r="F2">
        <v>0</v>
      </c>
      <c r="G2">
        <f t="shared" ref="G2:G12" si="0">( b1h*(b2h+1)*(x+(F2+F3)/2)^b2h ) /(b2h+1)</f>
        <v>1.6461212569378141E-3</v>
      </c>
      <c r="H2">
        <f t="shared" ref="H2:H12" si="1">E3*EXP( -b1h/(b2h+1) *(  (x+(F2+F3)/2)^(b2h+1) - x^(b2h+1) )   )*EXP( (F2+F3)/2*G2 ) * ( EXP( -(E3+Delta+G2)*F2 ) - EXP(-(E3+Delta+G2)*F3 ) ) / ( E3+Delta + G2 )</f>
        <v>1.0655670115734148E-4</v>
      </c>
      <c r="M2">
        <f>Foglio1!Z6-Foglio1!$Z$6</f>
        <v>0</v>
      </c>
    </row>
    <row r="3" spans="1:14" x14ac:dyDescent="0.25">
      <c r="A3" t="s">
        <v>33</v>
      </c>
      <c r="B3" s="58">
        <v>0</v>
      </c>
      <c r="D3" s="54">
        <v>25</v>
      </c>
      <c r="E3" s="54">
        <f>Foglio1!AB7</f>
        <v>1.0770782511143179E-4</v>
      </c>
      <c r="F3">
        <v>1</v>
      </c>
      <c r="G3">
        <f t="shared" si="0"/>
        <v>1.7603751638684347E-3</v>
      </c>
      <c r="H3">
        <f t="shared" si="1"/>
        <v>1.6904388598736761E-4</v>
      </c>
      <c r="M3">
        <f>(Foglio1!Z7-Foglio1!$Z$6 )/Foglio1!$Z$6 /(D3-$D$2)</f>
        <v>0.17003787540837614</v>
      </c>
      <c r="N3">
        <f>(D3-$D$2)</f>
        <v>5</v>
      </c>
    </row>
    <row r="4" spans="1:14" x14ac:dyDescent="0.25">
      <c r="D4" s="54">
        <v>30</v>
      </c>
      <c r="E4" s="54">
        <f>Foglio1!AB8</f>
        <v>1.7462076586580069E-4</v>
      </c>
      <c r="F4">
        <v>2</v>
      </c>
      <c r="G4">
        <f t="shared" si="0"/>
        <v>1.8795534703399488E-3</v>
      </c>
      <c r="H4">
        <f t="shared" si="1"/>
        <v>2.9001175590159247E-4</v>
      </c>
      <c r="M4">
        <f>(Foglio1!Z8-Foglio1!$Z$6 )/Foglio1!$Z$6 /(D4-$D$2)</f>
        <v>0.21187375214490572</v>
      </c>
      <c r="N4">
        <f t="shared" ref="N4:N12" si="2">(D4-$D$2)</f>
        <v>10</v>
      </c>
    </row>
    <row r="5" spans="1:14" x14ac:dyDescent="0.25">
      <c r="A5" t="s">
        <v>65</v>
      </c>
      <c r="B5" s="58" t="s">
        <v>67</v>
      </c>
      <c r="D5" s="54">
        <v>35</v>
      </c>
      <c r="E5" s="54">
        <f>Foglio1!AB9</f>
        <v>3.0628166791936016E-4</v>
      </c>
      <c r="F5">
        <v>3</v>
      </c>
      <c r="G5">
        <f t="shared" si="0"/>
        <v>2.0037450486074379E-3</v>
      </c>
      <c r="H5">
        <f t="shared" si="1"/>
        <v>5.016961999524302E-4</v>
      </c>
      <c r="M5">
        <f>(Foglio1!Z9-Foglio1!$Z$6 )/Foglio1!$Z$6 /(D5-$D$2)</f>
        <v>0.28216499116548666</v>
      </c>
      <c r="N5">
        <f t="shared" si="2"/>
        <v>15</v>
      </c>
    </row>
    <row r="6" spans="1:14" x14ac:dyDescent="0.25">
      <c r="A6" t="s">
        <v>66</v>
      </c>
      <c r="B6" s="58" t="s">
        <v>68</v>
      </c>
      <c r="D6" s="54">
        <v>40</v>
      </c>
      <c r="E6" s="54">
        <f>Foglio1!AB10</f>
        <v>5.4210152561256131E-4</v>
      </c>
      <c r="F6">
        <v>4</v>
      </c>
      <c r="G6">
        <f t="shared" si="0"/>
        <v>2.1330382520140176E-3</v>
      </c>
      <c r="H6">
        <f t="shared" si="1"/>
        <v>9.7298904233467738E-4</v>
      </c>
      <c r="M6">
        <f>(Foglio1!Z10-Foglio1!$Z$6 )/Foglio1!$Z$6 /(D6-$D$2)</f>
        <v>0.39025655506664225</v>
      </c>
      <c r="N6">
        <f t="shared" si="2"/>
        <v>20</v>
      </c>
    </row>
    <row r="7" spans="1:14" x14ac:dyDescent="0.25">
      <c r="D7" s="54">
        <v>45</v>
      </c>
      <c r="E7" s="54">
        <f>Foglio1!AB11</f>
        <v>1.0777742629360157E-3</v>
      </c>
      <c r="F7">
        <v>5</v>
      </c>
      <c r="G7">
        <f t="shared" si="0"/>
        <v>2.2675209298511369E-3</v>
      </c>
      <c r="H7">
        <f t="shared" si="1"/>
        <v>1.9571472032426534E-3</v>
      </c>
      <c r="M7">
        <f>(Foglio1!Z11-Foglio1!$Z$6 )/Foglio1!$Z$6 /(D7-$D$2)</f>
        <v>0.59465549504130366</v>
      </c>
      <c r="N7">
        <f t="shared" si="2"/>
        <v>25</v>
      </c>
    </row>
    <row r="8" spans="1:14" x14ac:dyDescent="0.25">
      <c r="A8" t="s">
        <v>69</v>
      </c>
      <c r="B8" s="58">
        <v>10</v>
      </c>
      <c r="D8" s="54">
        <v>50</v>
      </c>
      <c r="E8" s="54">
        <f>Foglio1!AB12</f>
        <v>2.2326696855583398E-3</v>
      </c>
      <c r="F8">
        <v>6</v>
      </c>
      <c r="G8">
        <f t="shared" si="0"/>
        <v>2.4072804414696381E-3</v>
      </c>
      <c r="H8">
        <f t="shared" si="1"/>
        <v>3.4702274448361443E-3</v>
      </c>
      <c r="M8">
        <f>(Foglio1!Z12-Foglio1!$Z$6 )/Foglio1!$Z$6 /(D8-$D$2)</f>
        <v>0.97716190267125824</v>
      </c>
      <c r="N8">
        <f t="shared" si="2"/>
        <v>30</v>
      </c>
    </row>
    <row r="9" spans="1:14" x14ac:dyDescent="0.25">
      <c r="A9" t="s">
        <v>28</v>
      </c>
      <c r="B9" s="58">
        <v>40</v>
      </c>
      <c r="D9" s="54">
        <v>55</v>
      </c>
      <c r="E9" s="54">
        <f>Foglio1!AB13</f>
        <v>4.1061080312609971E-3</v>
      </c>
      <c r="F9">
        <v>7</v>
      </c>
      <c r="G9">
        <f t="shared" si="0"/>
        <v>2.5524036696949262E-3</v>
      </c>
      <c r="H9">
        <f t="shared" si="1"/>
        <v>6.6631492263031491E-3</v>
      </c>
      <c r="M9">
        <f>(Foglio1!Z13-Foglio1!$Z$6 )/Foglio1!$Z$6 /(D9-$D$2)</f>
        <v>1.5446102615399144</v>
      </c>
      <c r="N9">
        <f t="shared" si="2"/>
        <v>35</v>
      </c>
    </row>
    <row r="10" spans="1:14" x14ac:dyDescent="0.25">
      <c r="D10" s="54">
        <v>60</v>
      </c>
      <c r="E10" s="54">
        <f>Foglio1!AB14</f>
        <v>8.3570675857534485E-3</v>
      </c>
      <c r="F10">
        <v>8</v>
      </c>
      <c r="G10">
        <f t="shared" si="0"/>
        <v>2.7029770335947867E-3</v>
      </c>
      <c r="H10">
        <f t="shared" si="1"/>
        <v>9.1335356106487346E-3</v>
      </c>
      <c r="M10">
        <f>(Foglio1!Z14-Foglio1!$Z$6 )/Foglio1!$Z$6 /(D10-$D$2)</f>
        <v>2.5818606594073321</v>
      </c>
      <c r="N10">
        <f t="shared" si="2"/>
        <v>40</v>
      </c>
    </row>
    <row r="11" spans="1:14" x14ac:dyDescent="0.25">
      <c r="D11" s="54">
        <v>65</v>
      </c>
      <c r="E11" s="54">
        <f>Foglio1!AB15</f>
        <v>1.2206443382102937E-2</v>
      </c>
      <c r="F11">
        <v>9</v>
      </c>
      <c r="G11">
        <f t="shared" si="0"/>
        <v>2.8590865006440083E-3</v>
      </c>
      <c r="H11">
        <f t="shared" si="1"/>
        <v>1.1791381463378759E-2</v>
      </c>
      <c r="M11">
        <f>(Foglio1!Z15-Foglio1!$Z$6 )/Foglio1!$Z$6 /(D11-$D$2)</f>
        <v>3.6019440305567794</v>
      </c>
      <c r="N11">
        <f t="shared" si="2"/>
        <v>45</v>
      </c>
    </row>
    <row r="12" spans="1:14" x14ac:dyDescent="0.25">
      <c r="D12" s="54">
        <v>70</v>
      </c>
      <c r="E12" s="54">
        <f>Foglio1!AB16</f>
        <v>1.7091106987882732E-2</v>
      </c>
      <c r="F12">
        <v>10</v>
      </c>
      <c r="G12">
        <f t="shared" si="0"/>
        <v>2.199625435346833E-3</v>
      </c>
      <c r="H12">
        <f t="shared" si="1"/>
        <v>0</v>
      </c>
      <c r="M12">
        <f>(Foglio1!Z16-Foglio1!$Z$6 )/Foglio1!$Z$6 /(D12-$D$2)</f>
        <v>4.6196661925908815</v>
      </c>
      <c r="N12">
        <f t="shared" si="2"/>
        <v>50</v>
      </c>
    </row>
    <row r="14" spans="1:14" x14ac:dyDescent="0.25">
      <c r="H14">
        <f>SUM(H2:H12)</f>
        <v>3.5055738533742851E-2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Foglio1</vt:lpstr>
      <vt:lpstr>data</vt:lpstr>
      <vt:lpstr>1_A.CI</vt:lpstr>
      <vt:lpstr>b1h</vt:lpstr>
      <vt:lpstr>b2h</vt:lpstr>
      <vt:lpstr>Delta</vt:lpstr>
      <vt:lpstr>gamma</vt:lpstr>
      <vt:lpstr>N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</dc:creator>
  <cp:lastModifiedBy>Abbas Didar</cp:lastModifiedBy>
  <dcterms:created xsi:type="dcterms:W3CDTF">2017-04-27T10:15:02Z</dcterms:created>
  <dcterms:modified xsi:type="dcterms:W3CDTF">2022-03-09T12:10:54Z</dcterms:modified>
</cp:coreProperties>
</file>