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B\Global Change Biology\Data\"/>
    </mc:Choice>
  </mc:AlternateContent>
  <xr:revisionPtr revIDLastSave="0" documentId="13_ncr:1_{0A25AB2A-ED94-40B8-B541-4C6C1966A7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7" r:id="rId1"/>
    <sheet name="Behaviour " sheetId="1" r:id="rId2"/>
    <sheet name="Development " sheetId="2" r:id="rId3"/>
    <sheet name="Fecundity" sheetId="3" r:id="rId4"/>
    <sheet name="Feeding" sheetId="5" r:id="rId5"/>
    <sheet name="Growth" sheetId="4" r:id="rId6"/>
    <sheet name="Heath " sheetId="6" r:id="rId7"/>
    <sheet name="Survival" sheetId="8" r:id="rId8"/>
    <sheet name=" Origin 1" sheetId="22" r:id="rId9"/>
    <sheet name="Origin 2" sheetId="23" r:id="rId10"/>
  </sheets>
  <definedNames>
    <definedName name="_xlnm._FilterDatabase" localSheetId="2" hidden="1">'Development '!$A$1:$AF$75</definedName>
    <definedName name="_xlnm._FilterDatabase" localSheetId="6" hidden="1">'Heath '!$A$1:$AG$312</definedName>
    <definedName name="_Hlk182741807" localSheetId="0">Data!$B$4</definedName>
    <definedName name="_Hlk182925330" localSheetId="0">Data!$B$2</definedName>
    <definedName name="_Hlk182925431" localSheetId="0">Data!$A$1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3" l="1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51" i="4"/>
  <c r="X58" i="4"/>
  <c r="X59" i="4"/>
  <c r="X89" i="4"/>
  <c r="X90" i="4"/>
  <c r="X91" i="4"/>
  <c r="X118" i="4"/>
  <c r="X136" i="4"/>
  <c r="X138" i="4"/>
  <c r="X139" i="4"/>
  <c r="Z18" i="8"/>
  <c r="Z20" i="8"/>
  <c r="Z21" i="8"/>
  <c r="Z31" i="8"/>
  <c r="Z51" i="8"/>
  <c r="X85" i="6"/>
  <c r="X86" i="6"/>
  <c r="X94" i="6"/>
  <c r="X95" i="6"/>
  <c r="X96" i="6"/>
  <c r="X105" i="6"/>
  <c r="X106" i="6"/>
  <c r="X125" i="6"/>
  <c r="X126" i="6"/>
  <c r="W82" i="6"/>
  <c r="X82" i="6" s="1"/>
  <c r="W83" i="6"/>
  <c r="X83" i="6" s="1"/>
  <c r="W84" i="6"/>
  <c r="X84" i="6" s="1"/>
  <c r="W85" i="6"/>
  <c r="W86" i="6"/>
  <c r="W87" i="6"/>
  <c r="X87" i="6" s="1"/>
  <c r="W88" i="6"/>
  <c r="X88" i="6" s="1"/>
  <c r="W89" i="6"/>
  <c r="X89" i="6" s="1"/>
  <c r="W90" i="6"/>
  <c r="X90" i="6" s="1"/>
  <c r="W91" i="6"/>
  <c r="X91" i="6" s="1"/>
  <c r="W92" i="6"/>
  <c r="X92" i="6" s="1"/>
  <c r="W93" i="6"/>
  <c r="X93" i="6" s="1"/>
  <c r="W94" i="6"/>
  <c r="W95" i="6"/>
  <c r="W96" i="6"/>
  <c r="W97" i="6"/>
  <c r="X97" i="6" s="1"/>
  <c r="W98" i="6"/>
  <c r="X98" i="6" s="1"/>
  <c r="W99" i="6"/>
  <c r="X99" i="6" s="1"/>
  <c r="W100" i="6"/>
  <c r="X100" i="6" s="1"/>
  <c r="W101" i="6"/>
  <c r="X101" i="6" s="1"/>
  <c r="W102" i="6"/>
  <c r="X102" i="6" s="1"/>
  <c r="W103" i="6"/>
  <c r="X103" i="6" s="1"/>
  <c r="W104" i="6"/>
  <c r="X104" i="6" s="1"/>
  <c r="W105" i="6"/>
  <c r="W106" i="6"/>
  <c r="W107" i="6"/>
  <c r="X107" i="6" s="1"/>
  <c r="W108" i="6"/>
  <c r="X108" i="6" s="1"/>
  <c r="W109" i="6"/>
  <c r="X109" i="6" s="1"/>
  <c r="W110" i="6"/>
  <c r="X110" i="6" s="1"/>
  <c r="W111" i="6"/>
  <c r="X111" i="6" s="1"/>
  <c r="W112" i="6"/>
  <c r="X112" i="6" s="1"/>
  <c r="W113" i="6"/>
  <c r="X113" i="6" s="1"/>
  <c r="W114" i="6"/>
  <c r="X114" i="6" s="1"/>
  <c r="W115" i="6"/>
  <c r="X115" i="6" s="1"/>
  <c r="W116" i="6"/>
  <c r="X116" i="6" s="1"/>
  <c r="W117" i="6"/>
  <c r="X117" i="6" s="1"/>
  <c r="W118" i="6"/>
  <c r="X118" i="6" s="1"/>
  <c r="W119" i="6"/>
  <c r="X119" i="6" s="1"/>
  <c r="W120" i="6"/>
  <c r="X120" i="6" s="1"/>
  <c r="W121" i="6"/>
  <c r="X121" i="6" s="1"/>
  <c r="W122" i="6"/>
  <c r="X122" i="6" s="1"/>
  <c r="W123" i="6"/>
  <c r="X123" i="6" s="1"/>
  <c r="W124" i="6"/>
  <c r="X124" i="6" s="1"/>
  <c r="W125" i="6"/>
  <c r="W126" i="6"/>
  <c r="W127" i="6"/>
  <c r="X127" i="6" s="1"/>
  <c r="W128" i="6"/>
  <c r="X128" i="6" s="1"/>
  <c r="W81" i="6"/>
  <c r="X81" i="6" s="1"/>
  <c r="Y52" i="8"/>
  <c r="Z52" i="8" s="1"/>
  <c r="W206" i="6"/>
  <c r="X206" i="6" s="1"/>
  <c r="W207" i="6"/>
  <c r="X207" i="6" s="1"/>
  <c r="W208" i="6"/>
  <c r="X208" i="6" s="1"/>
  <c r="Y32" i="8"/>
  <c r="Z32" i="8" s="1"/>
  <c r="Y33" i="8"/>
  <c r="Z33" i="8" s="1"/>
  <c r="Y34" i="8"/>
  <c r="Z34" i="8" s="1"/>
  <c r="Y35" i="8"/>
  <c r="Z35" i="8" s="1"/>
  <c r="W135" i="4"/>
  <c r="X135" i="4" s="1"/>
  <c r="W136" i="4"/>
  <c r="W137" i="4"/>
  <c r="X137" i="4" s="1"/>
  <c r="W138" i="4"/>
  <c r="W139" i="4"/>
  <c r="W134" i="4"/>
  <c r="X134" i="4" s="1"/>
  <c r="W6" i="3"/>
  <c r="X6" i="3" s="1"/>
  <c r="W10" i="4"/>
  <c r="X10" i="4" s="1"/>
  <c r="W11" i="4"/>
  <c r="X11" i="4" s="1"/>
  <c r="W12" i="4"/>
  <c r="X12" i="4" s="1"/>
  <c r="W13" i="4"/>
  <c r="X13" i="4" s="1"/>
  <c r="W14" i="4"/>
  <c r="X14" i="4" s="1"/>
  <c r="W15" i="4"/>
  <c r="X15" i="4" s="1"/>
  <c r="W16" i="4"/>
  <c r="X16" i="4" s="1"/>
  <c r="W17" i="4"/>
  <c r="X17" i="4" s="1"/>
  <c r="W18" i="4"/>
  <c r="X18" i="4" s="1"/>
  <c r="W19" i="4"/>
  <c r="X19" i="4" s="1"/>
  <c r="W20" i="4"/>
  <c r="X20" i="4" s="1"/>
  <c r="W21" i="4"/>
  <c r="X21" i="4" s="1"/>
  <c r="W22" i="4"/>
  <c r="X22" i="4" s="1"/>
  <c r="W23" i="4"/>
  <c r="X23" i="4" s="1"/>
  <c r="W9" i="4"/>
  <c r="X9" i="4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18" i="1"/>
  <c r="X18" i="1" s="1"/>
  <c r="W17" i="1"/>
  <c r="X17" i="1" s="1"/>
  <c r="W44" i="1"/>
  <c r="X44" i="1" s="1"/>
  <c r="W42" i="1"/>
  <c r="X42" i="1" s="1"/>
  <c r="W43" i="1"/>
  <c r="X43" i="1" s="1"/>
  <c r="W41" i="1"/>
  <c r="X41" i="1" s="1"/>
  <c r="W62" i="1"/>
  <c r="X62" i="1" s="1"/>
  <c r="W63" i="1"/>
  <c r="X63" i="1" s="1"/>
  <c r="W61" i="1"/>
  <c r="X61" i="1" s="1"/>
  <c r="W40" i="1"/>
  <c r="X40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45" i="1"/>
  <c r="X45" i="1" s="1"/>
  <c r="W20" i="1"/>
  <c r="X20" i="1" s="1"/>
  <c r="W21" i="1"/>
  <c r="X21" i="1" s="1"/>
  <c r="W22" i="1"/>
  <c r="X22" i="1" s="1"/>
  <c r="W23" i="1"/>
  <c r="X23" i="1" s="1"/>
  <c r="W24" i="1"/>
  <c r="X24" i="1" s="1"/>
  <c r="W19" i="1"/>
  <c r="X1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9" i="1"/>
  <c r="X9" i="1" s="1"/>
  <c r="W8" i="1"/>
  <c r="X8" i="1" s="1"/>
  <c r="W65" i="1"/>
  <c r="X65" i="1" s="1"/>
  <c r="W66" i="1"/>
  <c r="X66" i="1" s="1"/>
  <c r="W67" i="1"/>
  <c r="X67" i="1" s="1"/>
  <c r="W68" i="1"/>
  <c r="X68" i="1" s="1"/>
  <c r="W69" i="1"/>
  <c r="X69" i="1" s="1"/>
  <c r="W64" i="1"/>
  <c r="X64" i="1" s="1"/>
  <c r="W3" i="1"/>
  <c r="X3" i="1" s="1"/>
  <c r="W4" i="1"/>
  <c r="X4" i="1" s="1"/>
  <c r="W5" i="1"/>
  <c r="X5" i="1" s="1"/>
  <c r="W6" i="1"/>
  <c r="X6" i="1" s="1"/>
  <c r="W7" i="1"/>
  <c r="X7" i="1" s="1"/>
  <c r="W2" i="1"/>
  <c r="X2" i="1" s="1"/>
  <c r="W69" i="2"/>
  <c r="X69" i="2" s="1"/>
  <c r="W70" i="2"/>
  <c r="X70" i="2" s="1"/>
  <c r="W71" i="2"/>
  <c r="X71" i="2" s="1"/>
  <c r="W72" i="2"/>
  <c r="X72" i="2" s="1"/>
  <c r="W73" i="2"/>
  <c r="X73" i="2" s="1"/>
  <c r="W74" i="2"/>
  <c r="X74" i="2" s="1"/>
  <c r="W75" i="2"/>
  <c r="X75" i="2" s="1"/>
  <c r="W68" i="2"/>
  <c r="X68" i="2" s="1"/>
  <c r="W67" i="2"/>
  <c r="X67" i="2" s="1"/>
  <c r="W62" i="2"/>
  <c r="X62" i="2" s="1"/>
  <c r="W63" i="2"/>
  <c r="X63" i="2" s="1"/>
  <c r="W64" i="2"/>
  <c r="X64" i="2" s="1"/>
  <c r="W65" i="2"/>
  <c r="X65" i="2" s="1"/>
  <c r="W66" i="2"/>
  <c r="X66" i="2" s="1"/>
  <c r="W61" i="2"/>
  <c r="X61" i="2" s="1"/>
  <c r="W47" i="2"/>
  <c r="X47" i="2" s="1"/>
  <c r="W48" i="2"/>
  <c r="X48" i="2" s="1"/>
  <c r="W49" i="2"/>
  <c r="X49" i="2" s="1"/>
  <c r="W50" i="2"/>
  <c r="X50" i="2" s="1"/>
  <c r="W51" i="2"/>
  <c r="X51" i="2" s="1"/>
  <c r="W46" i="2"/>
  <c r="X46" i="2" s="1"/>
  <c r="W53" i="2"/>
  <c r="X53" i="2" s="1"/>
  <c r="W54" i="2"/>
  <c r="X54" i="2" s="1"/>
  <c r="W55" i="2"/>
  <c r="X55" i="2" s="1"/>
  <c r="W56" i="2"/>
  <c r="X56" i="2" s="1"/>
  <c r="W57" i="2"/>
  <c r="X57" i="2" s="1"/>
  <c r="W58" i="2"/>
  <c r="X58" i="2" s="1"/>
  <c r="W59" i="2"/>
  <c r="X59" i="2" s="1"/>
  <c r="W60" i="2"/>
  <c r="X60" i="2" s="1"/>
  <c r="W52" i="2"/>
  <c r="X52" i="2" s="1"/>
  <c r="W45" i="2"/>
  <c r="X45" i="2" s="1"/>
  <c r="W36" i="2"/>
  <c r="X36" i="2" s="1"/>
  <c r="W37" i="2"/>
  <c r="X37" i="2" s="1"/>
  <c r="W38" i="2"/>
  <c r="X38" i="2" s="1"/>
  <c r="W39" i="2"/>
  <c r="X39" i="2" s="1"/>
  <c r="W40" i="2"/>
  <c r="X40" i="2" s="1"/>
  <c r="W41" i="2"/>
  <c r="X41" i="2" s="1"/>
  <c r="W42" i="2"/>
  <c r="X42" i="2" s="1"/>
  <c r="W43" i="2"/>
  <c r="X43" i="2" s="1"/>
  <c r="W44" i="2"/>
  <c r="X44" i="2" s="1"/>
  <c r="W35" i="2"/>
  <c r="X35" i="2" s="1"/>
  <c r="W34" i="2"/>
  <c r="X34" i="2" s="1"/>
  <c r="W33" i="2"/>
  <c r="X33" i="2" s="1"/>
  <c r="W24" i="2"/>
  <c r="X24" i="2" s="1"/>
  <c r="W25" i="2"/>
  <c r="X25" i="2" s="1"/>
  <c r="W26" i="2"/>
  <c r="X26" i="2" s="1"/>
  <c r="W27" i="2"/>
  <c r="X27" i="2" s="1"/>
  <c r="W28" i="2"/>
  <c r="X28" i="2" s="1"/>
  <c r="W29" i="2"/>
  <c r="X29" i="2" s="1"/>
  <c r="W30" i="2"/>
  <c r="X30" i="2" s="1"/>
  <c r="W31" i="2"/>
  <c r="X31" i="2" s="1"/>
  <c r="W32" i="2"/>
  <c r="X32" i="2" s="1"/>
  <c r="W23" i="2"/>
  <c r="X23" i="2" s="1"/>
  <c r="W21" i="2"/>
  <c r="X21" i="2" s="1"/>
  <c r="W22" i="2"/>
  <c r="X22" i="2" s="1"/>
  <c r="W20" i="2"/>
  <c r="X20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W19" i="2"/>
  <c r="X19" i="2" s="1"/>
  <c r="W12" i="2"/>
  <c r="X12" i="2" s="1"/>
  <c r="W11" i="2"/>
  <c r="X11" i="2" s="1"/>
  <c r="W10" i="2"/>
  <c r="X10" i="2" s="1"/>
  <c r="W3" i="2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2" i="2"/>
  <c r="X2" i="2" s="1"/>
  <c r="W16" i="3"/>
  <c r="X16" i="3" s="1"/>
  <c r="W17" i="3"/>
  <c r="X17" i="3" s="1"/>
  <c r="W15" i="3"/>
  <c r="X15" i="3" s="1"/>
  <c r="W11" i="3"/>
  <c r="X11" i="3" s="1"/>
  <c r="W12" i="3"/>
  <c r="X12" i="3" s="1"/>
  <c r="W13" i="3"/>
  <c r="X13" i="3" s="1"/>
  <c r="W14" i="3"/>
  <c r="X14" i="3" s="1"/>
  <c r="W10" i="3"/>
  <c r="X10" i="3" s="1"/>
  <c r="W20" i="3"/>
  <c r="X20" i="3" s="1"/>
  <c r="W21" i="3"/>
  <c r="X21" i="3" s="1"/>
  <c r="W22" i="3"/>
  <c r="X22" i="3" s="1"/>
  <c r="W19" i="3"/>
  <c r="X19" i="3" s="1"/>
  <c r="W7" i="3"/>
  <c r="X7" i="3" s="1"/>
  <c r="W8" i="3"/>
  <c r="X8" i="3" s="1"/>
  <c r="W9" i="3"/>
  <c r="X9" i="3" s="1"/>
  <c r="W4" i="3"/>
  <c r="X4" i="3" s="1"/>
  <c r="W5" i="3"/>
  <c r="X5" i="3" s="1"/>
  <c r="W3" i="3"/>
  <c r="X3" i="3" s="1"/>
  <c r="W2" i="3"/>
  <c r="X2" i="3" s="1"/>
  <c r="W119" i="4"/>
  <c r="X119" i="4" s="1"/>
  <c r="W120" i="4"/>
  <c r="X120" i="4" s="1"/>
  <c r="W121" i="4"/>
  <c r="X121" i="4" s="1"/>
  <c r="W122" i="4"/>
  <c r="X122" i="4" s="1"/>
  <c r="W123" i="4"/>
  <c r="X123" i="4" s="1"/>
  <c r="W124" i="4"/>
  <c r="X124" i="4" s="1"/>
  <c r="W125" i="4"/>
  <c r="X125" i="4" s="1"/>
  <c r="W126" i="4"/>
  <c r="X126" i="4" s="1"/>
  <c r="W127" i="4"/>
  <c r="X127" i="4" s="1"/>
  <c r="W128" i="4"/>
  <c r="X128" i="4" s="1"/>
  <c r="W129" i="4"/>
  <c r="X129" i="4" s="1"/>
  <c r="W130" i="4"/>
  <c r="X130" i="4" s="1"/>
  <c r="W131" i="4"/>
  <c r="X131" i="4" s="1"/>
  <c r="W132" i="4"/>
  <c r="X132" i="4" s="1"/>
  <c r="W133" i="4"/>
  <c r="X133" i="4" s="1"/>
  <c r="W118" i="4"/>
  <c r="W116" i="4"/>
  <c r="X116" i="4" s="1"/>
  <c r="W117" i="4"/>
  <c r="X117" i="4" s="1"/>
  <c r="W115" i="4"/>
  <c r="X115" i="4" s="1"/>
  <c r="W104" i="4"/>
  <c r="X104" i="4" s="1"/>
  <c r="W105" i="4"/>
  <c r="X105" i="4" s="1"/>
  <c r="W106" i="4"/>
  <c r="X106" i="4" s="1"/>
  <c r="W103" i="4"/>
  <c r="X103" i="4" s="1"/>
  <c r="W95" i="4"/>
  <c r="X95" i="4" s="1"/>
  <c r="W96" i="4"/>
  <c r="X96" i="4" s="1"/>
  <c r="W94" i="4"/>
  <c r="X94" i="4" s="1"/>
  <c r="W93" i="4"/>
  <c r="X93" i="4" s="1"/>
  <c r="W92" i="4"/>
  <c r="X92" i="4" s="1"/>
  <c r="W84" i="4"/>
  <c r="X84" i="4" s="1"/>
  <c r="W85" i="4"/>
  <c r="X85" i="4" s="1"/>
  <c r="W86" i="4"/>
  <c r="X86" i="4" s="1"/>
  <c r="W87" i="4"/>
  <c r="X87" i="4" s="1"/>
  <c r="W88" i="4"/>
  <c r="X88" i="4" s="1"/>
  <c r="W83" i="4"/>
  <c r="X83" i="4" s="1"/>
  <c r="W108" i="4"/>
  <c r="X108" i="4" s="1"/>
  <c r="W109" i="4"/>
  <c r="X109" i="4" s="1"/>
  <c r="W110" i="4"/>
  <c r="X110" i="4" s="1"/>
  <c r="W111" i="4"/>
  <c r="X111" i="4" s="1"/>
  <c r="W112" i="4"/>
  <c r="X112" i="4" s="1"/>
  <c r="W113" i="4"/>
  <c r="X113" i="4" s="1"/>
  <c r="W114" i="4"/>
  <c r="X114" i="4" s="1"/>
  <c r="W107" i="4"/>
  <c r="X107" i="4" s="1"/>
  <c r="W98" i="4"/>
  <c r="X98" i="4" s="1"/>
  <c r="W99" i="4"/>
  <c r="X99" i="4" s="1"/>
  <c r="W100" i="4"/>
  <c r="X100" i="4" s="1"/>
  <c r="W101" i="4"/>
  <c r="X101" i="4" s="1"/>
  <c r="W102" i="4"/>
  <c r="X102" i="4" s="1"/>
  <c r="W97" i="4"/>
  <c r="X97" i="4" s="1"/>
  <c r="W66" i="4"/>
  <c r="X66" i="4" s="1"/>
  <c r="W67" i="4"/>
  <c r="X67" i="4" s="1"/>
  <c r="W68" i="4"/>
  <c r="X68" i="4" s="1"/>
  <c r="W69" i="4"/>
  <c r="X69" i="4" s="1"/>
  <c r="W70" i="4"/>
  <c r="X70" i="4" s="1"/>
  <c r="W71" i="4"/>
  <c r="X71" i="4" s="1"/>
  <c r="W72" i="4"/>
  <c r="X72" i="4" s="1"/>
  <c r="W73" i="4"/>
  <c r="X73" i="4" s="1"/>
  <c r="W74" i="4"/>
  <c r="X74" i="4" s="1"/>
  <c r="W75" i="4"/>
  <c r="X75" i="4" s="1"/>
  <c r="W76" i="4"/>
  <c r="X76" i="4" s="1"/>
  <c r="W77" i="4"/>
  <c r="X77" i="4" s="1"/>
  <c r="W78" i="4"/>
  <c r="X78" i="4" s="1"/>
  <c r="W79" i="4"/>
  <c r="X79" i="4" s="1"/>
  <c r="W80" i="4"/>
  <c r="X80" i="4" s="1"/>
  <c r="W81" i="4"/>
  <c r="X81" i="4" s="1"/>
  <c r="W82" i="4"/>
  <c r="X82" i="4" s="1"/>
  <c r="W65" i="4"/>
  <c r="X65" i="4" s="1"/>
  <c r="W60" i="4"/>
  <c r="X60" i="4" s="1"/>
  <c r="W61" i="4"/>
  <c r="X61" i="4" s="1"/>
  <c r="W62" i="4"/>
  <c r="X62" i="4" s="1"/>
  <c r="W63" i="4"/>
  <c r="X63" i="4" s="1"/>
  <c r="W64" i="4"/>
  <c r="X64" i="4" s="1"/>
  <c r="W59" i="4"/>
  <c r="W50" i="4"/>
  <c r="X50" i="4" s="1"/>
  <c r="W51" i="4"/>
  <c r="W52" i="4"/>
  <c r="X52" i="4" s="1"/>
  <c r="W53" i="4"/>
  <c r="X53" i="4" s="1"/>
  <c r="W54" i="4"/>
  <c r="X54" i="4" s="1"/>
  <c r="W55" i="4"/>
  <c r="X55" i="4" s="1"/>
  <c r="W56" i="4"/>
  <c r="X56" i="4" s="1"/>
  <c r="W57" i="4"/>
  <c r="X57" i="4" s="1"/>
  <c r="W58" i="4"/>
  <c r="W49" i="4"/>
  <c r="X49" i="4" s="1"/>
  <c r="W44" i="4"/>
  <c r="X44" i="4" s="1"/>
  <c r="W45" i="4"/>
  <c r="X45" i="4" s="1"/>
  <c r="W46" i="4"/>
  <c r="X46" i="4" s="1"/>
  <c r="W47" i="4"/>
  <c r="X47" i="4" s="1"/>
  <c r="W48" i="4"/>
  <c r="X48" i="4" s="1"/>
  <c r="W43" i="4"/>
  <c r="X43" i="4" s="1"/>
  <c r="W25" i="4"/>
  <c r="X25" i="4" s="1"/>
  <c r="W26" i="4"/>
  <c r="X26" i="4" s="1"/>
  <c r="W24" i="4"/>
  <c r="X24" i="4" s="1"/>
  <c r="W8" i="4"/>
  <c r="X8" i="4" s="1"/>
  <c r="W7" i="4"/>
  <c r="X7" i="4" s="1"/>
  <c r="W3" i="4"/>
  <c r="X3" i="4" s="1"/>
  <c r="W4" i="4"/>
  <c r="X4" i="4" s="1"/>
  <c r="W5" i="4"/>
  <c r="X5" i="4" s="1"/>
  <c r="W6" i="4"/>
  <c r="X6" i="4" s="1"/>
  <c r="W2" i="4"/>
  <c r="X2" i="4" s="1"/>
  <c r="Y53" i="8"/>
  <c r="Z53" i="8" s="1"/>
  <c r="Y54" i="8"/>
  <c r="Z54" i="8" s="1"/>
  <c r="Y55" i="8"/>
  <c r="Z55" i="8" s="1"/>
  <c r="Y56" i="8"/>
  <c r="Z56" i="8" s="1"/>
  <c r="Y57" i="8"/>
  <c r="Z57" i="8" s="1"/>
  <c r="Y51" i="8"/>
  <c r="Y50" i="8"/>
  <c r="Z50" i="8" s="1"/>
  <c r="Y43" i="8"/>
  <c r="Z43" i="8" s="1"/>
  <c r="Y44" i="8"/>
  <c r="Z44" i="8" s="1"/>
  <c r="Y45" i="8"/>
  <c r="Z45" i="8" s="1"/>
  <c r="Y46" i="8"/>
  <c r="Z46" i="8" s="1"/>
  <c r="Y47" i="8"/>
  <c r="Z47" i="8" s="1"/>
  <c r="Y48" i="8"/>
  <c r="Z48" i="8" s="1"/>
  <c r="Y49" i="8"/>
  <c r="Z49" i="8" s="1"/>
  <c r="Y42" i="8"/>
  <c r="Z42" i="8" s="1"/>
  <c r="Y37" i="8"/>
  <c r="Z37" i="8" s="1"/>
  <c r="Y38" i="8"/>
  <c r="Z38" i="8" s="1"/>
  <c r="Y39" i="8"/>
  <c r="Z39" i="8" s="1"/>
  <c r="Y40" i="8"/>
  <c r="Z40" i="8" s="1"/>
  <c r="Y41" i="8"/>
  <c r="Z41" i="8" s="1"/>
  <c r="Y36" i="8"/>
  <c r="Z36" i="8" s="1"/>
  <c r="Y29" i="8"/>
  <c r="Z29" i="8" s="1"/>
  <c r="Y30" i="8"/>
  <c r="Z30" i="8" s="1"/>
  <c r="Y31" i="8"/>
  <c r="Y28" i="8"/>
  <c r="Z28" i="8" s="1"/>
  <c r="W132" i="6"/>
  <c r="X132" i="6" s="1"/>
  <c r="Y23" i="8"/>
  <c r="Z23" i="8" s="1"/>
  <c r="Y24" i="8"/>
  <c r="Z24" i="8" s="1"/>
  <c r="Y25" i="8"/>
  <c r="Z25" i="8" s="1"/>
  <c r="Y26" i="8"/>
  <c r="Z26" i="8" s="1"/>
  <c r="Y27" i="8"/>
  <c r="Z27" i="8" s="1"/>
  <c r="Y22" i="8"/>
  <c r="Z22" i="8" s="1"/>
  <c r="W131" i="6"/>
  <c r="X131" i="6" s="1"/>
  <c r="Y8" i="8"/>
  <c r="Z8" i="8" s="1"/>
  <c r="Y9" i="8"/>
  <c r="Z9" i="8" s="1"/>
  <c r="Y10" i="8"/>
  <c r="Z10" i="8" s="1"/>
  <c r="Y11" i="8"/>
  <c r="Z11" i="8" s="1"/>
  <c r="Y12" i="8"/>
  <c r="Z12" i="8" s="1"/>
  <c r="Y13" i="8"/>
  <c r="Z13" i="8" s="1"/>
  <c r="Y14" i="8"/>
  <c r="Z14" i="8" s="1"/>
  <c r="Y15" i="8"/>
  <c r="Z15" i="8" s="1"/>
  <c r="Y16" i="8"/>
  <c r="Z16" i="8" s="1"/>
  <c r="Y17" i="8"/>
  <c r="Z17" i="8" s="1"/>
  <c r="Y18" i="8"/>
  <c r="Y19" i="8"/>
  <c r="Z19" i="8" s="1"/>
  <c r="Y20" i="8"/>
  <c r="Y21" i="8"/>
  <c r="Y7" i="8"/>
  <c r="Z7" i="8" s="1"/>
  <c r="Y6" i="8"/>
  <c r="Z6" i="8" s="1"/>
  <c r="Y3" i="8"/>
  <c r="Z3" i="8" s="1"/>
  <c r="Y4" i="8"/>
  <c r="Z4" i="8" s="1"/>
  <c r="Y5" i="8"/>
  <c r="Z5" i="8" s="1"/>
  <c r="Y2" i="8"/>
  <c r="Z2" i="8" s="1"/>
  <c r="W32" i="5" l="1"/>
  <c r="X32" i="5" s="1"/>
  <c r="W33" i="5"/>
  <c r="X33" i="5" s="1"/>
  <c r="W34" i="5"/>
  <c r="X34" i="5" s="1"/>
  <c r="W35" i="5"/>
  <c r="X35" i="5" s="1"/>
  <c r="W36" i="5"/>
  <c r="X36" i="5" s="1"/>
  <c r="W31" i="5"/>
  <c r="X31" i="5" s="1"/>
  <c r="W24" i="5"/>
  <c r="X24" i="5" s="1"/>
  <c r="W25" i="5"/>
  <c r="X25" i="5" s="1"/>
  <c r="W26" i="5"/>
  <c r="X26" i="5" s="1"/>
  <c r="W27" i="5"/>
  <c r="X27" i="5" s="1"/>
  <c r="W28" i="5"/>
  <c r="X28" i="5" s="1"/>
  <c r="W29" i="5"/>
  <c r="X29" i="5" s="1"/>
  <c r="W30" i="5"/>
  <c r="X30" i="5" s="1"/>
  <c r="W23" i="5"/>
  <c r="X23" i="5" s="1"/>
  <c r="W21" i="5"/>
  <c r="X21" i="5" s="1"/>
  <c r="W22" i="5"/>
  <c r="X22" i="5" s="1"/>
  <c r="W20" i="5"/>
  <c r="X20" i="5" s="1"/>
  <c r="W15" i="5"/>
  <c r="X15" i="5" s="1"/>
  <c r="W16" i="5"/>
  <c r="X16" i="5" s="1"/>
  <c r="W17" i="5"/>
  <c r="X17" i="5" s="1"/>
  <c r="W18" i="5"/>
  <c r="X18" i="5" s="1"/>
  <c r="W19" i="5"/>
  <c r="X19" i="5" s="1"/>
  <c r="W14" i="5"/>
  <c r="X14" i="5" s="1"/>
  <c r="W9" i="5"/>
  <c r="X9" i="5" s="1"/>
  <c r="W10" i="5"/>
  <c r="X10" i="5" s="1"/>
  <c r="W11" i="5"/>
  <c r="X11" i="5" s="1"/>
  <c r="W12" i="5"/>
  <c r="X12" i="5" s="1"/>
  <c r="W13" i="5"/>
  <c r="X13" i="5" s="1"/>
  <c r="W8" i="5"/>
  <c r="X8" i="5" s="1"/>
  <c r="W3" i="5"/>
  <c r="X3" i="5" s="1"/>
  <c r="W4" i="5"/>
  <c r="X4" i="5" s="1"/>
  <c r="W5" i="5"/>
  <c r="X5" i="5" s="1"/>
  <c r="W6" i="5"/>
  <c r="X6" i="5" s="1"/>
  <c r="W7" i="5"/>
  <c r="X7" i="5" s="1"/>
  <c r="W2" i="5"/>
  <c r="X2" i="5" s="1"/>
  <c r="W278" i="6"/>
  <c r="X278" i="6" s="1"/>
  <c r="W279" i="6"/>
  <c r="X279" i="6" s="1"/>
  <c r="W280" i="6"/>
  <c r="X280" i="6" s="1"/>
  <c r="W281" i="6"/>
  <c r="X281" i="6" s="1"/>
  <c r="W282" i="6"/>
  <c r="X282" i="6" s="1"/>
  <c r="W283" i="6"/>
  <c r="X283" i="6" s="1"/>
  <c r="W284" i="6"/>
  <c r="X284" i="6" s="1"/>
  <c r="W285" i="6"/>
  <c r="X285" i="6" s="1"/>
  <c r="W286" i="6"/>
  <c r="X286" i="6" s="1"/>
  <c r="W287" i="6"/>
  <c r="X287" i="6" s="1"/>
  <c r="W288" i="6"/>
  <c r="X288" i="6" s="1"/>
  <c r="W289" i="6"/>
  <c r="X289" i="6" s="1"/>
  <c r="W290" i="6"/>
  <c r="X290" i="6" s="1"/>
  <c r="W291" i="6"/>
  <c r="X291" i="6" s="1"/>
  <c r="W292" i="6"/>
  <c r="X292" i="6" s="1"/>
  <c r="W293" i="6"/>
  <c r="X293" i="6" s="1"/>
  <c r="W294" i="6"/>
  <c r="X294" i="6" s="1"/>
  <c r="W295" i="6"/>
  <c r="X295" i="6" s="1"/>
  <c r="W296" i="6"/>
  <c r="X296" i="6" s="1"/>
  <c r="W297" i="6"/>
  <c r="X297" i="6" s="1"/>
  <c r="W298" i="6"/>
  <c r="X298" i="6" s="1"/>
  <c r="W299" i="6"/>
  <c r="X299" i="6" s="1"/>
  <c r="W300" i="6"/>
  <c r="X300" i="6" s="1"/>
  <c r="W301" i="6"/>
  <c r="X301" i="6" s="1"/>
  <c r="W302" i="6"/>
  <c r="X302" i="6" s="1"/>
  <c r="W303" i="6"/>
  <c r="X303" i="6" s="1"/>
  <c r="W304" i="6"/>
  <c r="X304" i="6" s="1"/>
  <c r="W305" i="6"/>
  <c r="X305" i="6" s="1"/>
  <c r="W306" i="6"/>
  <c r="X306" i="6" s="1"/>
  <c r="W307" i="6"/>
  <c r="X307" i="6" s="1"/>
  <c r="W308" i="6"/>
  <c r="X308" i="6" s="1"/>
  <c r="W309" i="6"/>
  <c r="X309" i="6" s="1"/>
  <c r="W310" i="6"/>
  <c r="X310" i="6" s="1"/>
  <c r="W311" i="6"/>
  <c r="X311" i="6" s="1"/>
  <c r="W312" i="6"/>
  <c r="X312" i="6" s="1"/>
  <c r="W277" i="6"/>
  <c r="X277" i="6" s="1"/>
  <c r="W274" i="6"/>
  <c r="X274" i="6" s="1"/>
  <c r="W275" i="6"/>
  <c r="X275" i="6" s="1"/>
  <c r="W276" i="6"/>
  <c r="X276" i="6" s="1"/>
  <c r="W273" i="6"/>
  <c r="X273" i="6" s="1"/>
  <c r="W250" i="6"/>
  <c r="X250" i="6" s="1"/>
  <c r="W251" i="6"/>
  <c r="X251" i="6" s="1"/>
  <c r="W252" i="6"/>
  <c r="X252" i="6" s="1"/>
  <c r="W253" i="6"/>
  <c r="X253" i="6" s="1"/>
  <c r="W254" i="6"/>
  <c r="X254" i="6" s="1"/>
  <c r="W255" i="6"/>
  <c r="X255" i="6" s="1"/>
  <c r="W256" i="6"/>
  <c r="X256" i="6" s="1"/>
  <c r="W257" i="6"/>
  <c r="X257" i="6" s="1"/>
  <c r="W258" i="6"/>
  <c r="X258" i="6" s="1"/>
  <c r="W259" i="6"/>
  <c r="X259" i="6" s="1"/>
  <c r="W260" i="6"/>
  <c r="X260" i="6" s="1"/>
  <c r="W261" i="6"/>
  <c r="X261" i="6" s="1"/>
  <c r="W262" i="6"/>
  <c r="X262" i="6" s="1"/>
  <c r="W263" i="6"/>
  <c r="X263" i="6" s="1"/>
  <c r="W264" i="6"/>
  <c r="X264" i="6" s="1"/>
  <c r="W265" i="6"/>
  <c r="X265" i="6" s="1"/>
  <c r="W266" i="6"/>
  <c r="X266" i="6" s="1"/>
  <c r="W267" i="6"/>
  <c r="X267" i="6" s="1"/>
  <c r="W268" i="6"/>
  <c r="X268" i="6" s="1"/>
  <c r="W269" i="6"/>
  <c r="X269" i="6" s="1"/>
  <c r="W270" i="6"/>
  <c r="X270" i="6" s="1"/>
  <c r="W271" i="6"/>
  <c r="X271" i="6" s="1"/>
  <c r="W272" i="6"/>
  <c r="X272" i="6" s="1"/>
  <c r="W249" i="6"/>
  <c r="X249" i="6" s="1"/>
  <c r="W234" i="6"/>
  <c r="X234" i="6" s="1"/>
  <c r="W235" i="6"/>
  <c r="X235" i="6" s="1"/>
  <c r="W236" i="6"/>
  <c r="X236" i="6" s="1"/>
  <c r="W237" i="6"/>
  <c r="X237" i="6" s="1"/>
  <c r="W238" i="6"/>
  <c r="X238" i="6" s="1"/>
  <c r="W239" i="6"/>
  <c r="X239" i="6" s="1"/>
  <c r="W240" i="6"/>
  <c r="X240" i="6" s="1"/>
  <c r="W241" i="6"/>
  <c r="X241" i="6" s="1"/>
  <c r="W242" i="6"/>
  <c r="X242" i="6" s="1"/>
  <c r="W243" i="6"/>
  <c r="X243" i="6" s="1"/>
  <c r="W244" i="6"/>
  <c r="X244" i="6" s="1"/>
  <c r="W245" i="6"/>
  <c r="X245" i="6" s="1"/>
  <c r="W246" i="6"/>
  <c r="X246" i="6" s="1"/>
  <c r="W247" i="6"/>
  <c r="X247" i="6" s="1"/>
  <c r="W248" i="6"/>
  <c r="X248" i="6" s="1"/>
  <c r="W233" i="6"/>
  <c r="X233" i="6" s="1"/>
  <c r="W210" i="6"/>
  <c r="X210" i="6" s="1"/>
  <c r="W211" i="6"/>
  <c r="X211" i="6" s="1"/>
  <c r="W212" i="6"/>
  <c r="X212" i="6" s="1"/>
  <c r="W213" i="6"/>
  <c r="X213" i="6" s="1"/>
  <c r="W214" i="6"/>
  <c r="X214" i="6" s="1"/>
  <c r="W215" i="6"/>
  <c r="X215" i="6" s="1"/>
  <c r="W216" i="6"/>
  <c r="X216" i="6" s="1"/>
  <c r="W217" i="6"/>
  <c r="X217" i="6" s="1"/>
  <c r="W218" i="6"/>
  <c r="X218" i="6" s="1"/>
  <c r="W219" i="6"/>
  <c r="X219" i="6" s="1"/>
  <c r="W220" i="6"/>
  <c r="X220" i="6" s="1"/>
  <c r="W221" i="6"/>
  <c r="X221" i="6" s="1"/>
  <c r="W222" i="6"/>
  <c r="X222" i="6" s="1"/>
  <c r="W223" i="6"/>
  <c r="X223" i="6" s="1"/>
  <c r="W224" i="6"/>
  <c r="X224" i="6" s="1"/>
  <c r="W225" i="6"/>
  <c r="X225" i="6" s="1"/>
  <c r="W226" i="6"/>
  <c r="X226" i="6" s="1"/>
  <c r="W227" i="6"/>
  <c r="X227" i="6" s="1"/>
  <c r="W228" i="6"/>
  <c r="X228" i="6" s="1"/>
  <c r="W229" i="6"/>
  <c r="X229" i="6" s="1"/>
  <c r="W230" i="6"/>
  <c r="X230" i="6" s="1"/>
  <c r="W231" i="6"/>
  <c r="X231" i="6" s="1"/>
  <c r="W232" i="6"/>
  <c r="X232" i="6" s="1"/>
  <c r="W209" i="6"/>
  <c r="X209" i="6" s="1"/>
  <c r="W159" i="6"/>
  <c r="X159" i="6" s="1"/>
  <c r="W160" i="6"/>
  <c r="X160" i="6" s="1"/>
  <c r="W161" i="6"/>
  <c r="X161" i="6" s="1"/>
  <c r="W162" i="6"/>
  <c r="X162" i="6" s="1"/>
  <c r="W163" i="6"/>
  <c r="X163" i="6" s="1"/>
  <c r="W164" i="6"/>
  <c r="X164" i="6" s="1"/>
  <c r="W165" i="6"/>
  <c r="X165" i="6" s="1"/>
  <c r="W166" i="6"/>
  <c r="X166" i="6" s="1"/>
  <c r="W167" i="6"/>
  <c r="X167" i="6" s="1"/>
  <c r="W168" i="6"/>
  <c r="X168" i="6" s="1"/>
  <c r="W169" i="6"/>
  <c r="X169" i="6" s="1"/>
  <c r="W170" i="6"/>
  <c r="X170" i="6" s="1"/>
  <c r="W171" i="6"/>
  <c r="X171" i="6" s="1"/>
  <c r="W172" i="6"/>
  <c r="X172" i="6" s="1"/>
  <c r="W173" i="6"/>
  <c r="X173" i="6" s="1"/>
  <c r="W174" i="6"/>
  <c r="X174" i="6" s="1"/>
  <c r="W175" i="6"/>
  <c r="X175" i="6" s="1"/>
  <c r="W176" i="6"/>
  <c r="X176" i="6" s="1"/>
  <c r="W177" i="6"/>
  <c r="X177" i="6" s="1"/>
  <c r="W178" i="6"/>
  <c r="X178" i="6" s="1"/>
  <c r="W179" i="6"/>
  <c r="X179" i="6" s="1"/>
  <c r="W180" i="6"/>
  <c r="X180" i="6" s="1"/>
  <c r="W181" i="6"/>
  <c r="X181" i="6" s="1"/>
  <c r="W182" i="6"/>
  <c r="X182" i="6" s="1"/>
  <c r="W183" i="6"/>
  <c r="X183" i="6" s="1"/>
  <c r="W184" i="6"/>
  <c r="X184" i="6" s="1"/>
  <c r="W185" i="6"/>
  <c r="X185" i="6" s="1"/>
  <c r="W186" i="6"/>
  <c r="X186" i="6" s="1"/>
  <c r="W187" i="6"/>
  <c r="X187" i="6" s="1"/>
  <c r="W188" i="6"/>
  <c r="X188" i="6" s="1"/>
  <c r="W189" i="6"/>
  <c r="X189" i="6" s="1"/>
  <c r="W190" i="6"/>
  <c r="X190" i="6" s="1"/>
  <c r="W191" i="6"/>
  <c r="X191" i="6" s="1"/>
  <c r="W192" i="6"/>
  <c r="X192" i="6" s="1"/>
  <c r="W193" i="6"/>
  <c r="X193" i="6" s="1"/>
  <c r="W194" i="6"/>
  <c r="X194" i="6" s="1"/>
  <c r="W195" i="6"/>
  <c r="X195" i="6" s="1"/>
  <c r="W196" i="6"/>
  <c r="X196" i="6" s="1"/>
  <c r="W197" i="6"/>
  <c r="X197" i="6" s="1"/>
  <c r="W198" i="6"/>
  <c r="X198" i="6" s="1"/>
  <c r="W199" i="6"/>
  <c r="X199" i="6" s="1"/>
  <c r="W200" i="6"/>
  <c r="X200" i="6" s="1"/>
  <c r="W201" i="6"/>
  <c r="X201" i="6" s="1"/>
  <c r="W202" i="6"/>
  <c r="X202" i="6" s="1"/>
  <c r="W203" i="6"/>
  <c r="X203" i="6" s="1"/>
  <c r="W204" i="6"/>
  <c r="X204" i="6" s="1"/>
  <c r="W205" i="6"/>
  <c r="X205" i="6" s="1"/>
  <c r="W158" i="6"/>
  <c r="X158" i="6" s="1"/>
  <c r="W141" i="6"/>
  <c r="X141" i="6" s="1"/>
  <c r="W142" i="6"/>
  <c r="X142" i="6" s="1"/>
  <c r="W143" i="6"/>
  <c r="X143" i="6" s="1"/>
  <c r="W144" i="6"/>
  <c r="X144" i="6" s="1"/>
  <c r="W145" i="6"/>
  <c r="X145" i="6" s="1"/>
  <c r="W146" i="6"/>
  <c r="X146" i="6" s="1"/>
  <c r="W147" i="6"/>
  <c r="X147" i="6" s="1"/>
  <c r="W148" i="6"/>
  <c r="X148" i="6" s="1"/>
  <c r="W149" i="6"/>
  <c r="X149" i="6" s="1"/>
  <c r="W150" i="6"/>
  <c r="X150" i="6" s="1"/>
  <c r="W151" i="6"/>
  <c r="X151" i="6" s="1"/>
  <c r="W152" i="6"/>
  <c r="X152" i="6" s="1"/>
  <c r="W153" i="6"/>
  <c r="X153" i="6" s="1"/>
  <c r="W154" i="6"/>
  <c r="X154" i="6" s="1"/>
  <c r="W155" i="6"/>
  <c r="X155" i="6" s="1"/>
  <c r="W156" i="6"/>
  <c r="X156" i="6" s="1"/>
  <c r="W157" i="6"/>
  <c r="X157" i="6" s="1"/>
  <c r="W140" i="6"/>
  <c r="X140" i="6" s="1"/>
  <c r="W138" i="6"/>
  <c r="X138" i="6" s="1"/>
  <c r="W139" i="6"/>
  <c r="X139" i="6" s="1"/>
  <c r="W137" i="6"/>
  <c r="X137" i="6" s="1"/>
  <c r="W133" i="6"/>
  <c r="X133" i="6" s="1"/>
  <c r="W134" i="6"/>
  <c r="X134" i="6" s="1"/>
  <c r="W135" i="6"/>
  <c r="X135" i="6" s="1"/>
  <c r="W136" i="6"/>
  <c r="X136" i="6" s="1"/>
  <c r="W130" i="6"/>
  <c r="X130" i="6" s="1"/>
  <c r="W129" i="6"/>
  <c r="X129" i="6" s="1"/>
  <c r="W55" i="6"/>
  <c r="X55" i="6" s="1"/>
  <c r="W56" i="6"/>
  <c r="X56" i="6" s="1"/>
  <c r="W57" i="6"/>
  <c r="X57" i="6" s="1"/>
  <c r="W58" i="6"/>
  <c r="X58" i="6" s="1"/>
  <c r="W59" i="6"/>
  <c r="X59" i="6" s="1"/>
  <c r="W60" i="6"/>
  <c r="X60" i="6" s="1"/>
  <c r="W61" i="6"/>
  <c r="X61" i="6" s="1"/>
  <c r="W62" i="6"/>
  <c r="X62" i="6" s="1"/>
  <c r="W63" i="6"/>
  <c r="X63" i="6" s="1"/>
  <c r="W64" i="6"/>
  <c r="X64" i="6" s="1"/>
  <c r="W65" i="6"/>
  <c r="X65" i="6" s="1"/>
  <c r="W66" i="6"/>
  <c r="X66" i="6" s="1"/>
  <c r="W67" i="6"/>
  <c r="X67" i="6" s="1"/>
  <c r="W68" i="6"/>
  <c r="X68" i="6" s="1"/>
  <c r="W69" i="6"/>
  <c r="X69" i="6" s="1"/>
  <c r="W70" i="6"/>
  <c r="X70" i="6" s="1"/>
  <c r="W71" i="6"/>
  <c r="X71" i="6" s="1"/>
  <c r="W72" i="6"/>
  <c r="X72" i="6" s="1"/>
  <c r="W73" i="6"/>
  <c r="X73" i="6" s="1"/>
  <c r="W74" i="6"/>
  <c r="X74" i="6" s="1"/>
  <c r="W75" i="6"/>
  <c r="X75" i="6" s="1"/>
  <c r="W76" i="6"/>
  <c r="X76" i="6" s="1"/>
  <c r="W77" i="6"/>
  <c r="X77" i="6" s="1"/>
  <c r="W78" i="6"/>
  <c r="X78" i="6" s="1"/>
  <c r="W79" i="6"/>
  <c r="X79" i="6" s="1"/>
  <c r="W80" i="6"/>
  <c r="X80" i="6" s="1"/>
  <c r="W54" i="6"/>
  <c r="X54" i="6" s="1"/>
  <c r="W50" i="6"/>
  <c r="X50" i="6" s="1"/>
  <c r="W51" i="6"/>
  <c r="X51" i="6" s="1"/>
  <c r="W52" i="6"/>
  <c r="X52" i="6" s="1"/>
  <c r="W53" i="6"/>
  <c r="X53" i="6" s="1"/>
  <c r="W49" i="6"/>
  <c r="X49" i="6" s="1"/>
  <c r="W31" i="6"/>
  <c r="X31" i="6" s="1"/>
  <c r="W32" i="6"/>
  <c r="X32" i="6" s="1"/>
  <c r="W33" i="6"/>
  <c r="X33" i="6" s="1"/>
  <c r="W34" i="6"/>
  <c r="X34" i="6" s="1"/>
  <c r="W35" i="6"/>
  <c r="X35" i="6" s="1"/>
  <c r="W36" i="6"/>
  <c r="X36" i="6" s="1"/>
  <c r="W37" i="6"/>
  <c r="X37" i="6" s="1"/>
  <c r="W38" i="6"/>
  <c r="X38" i="6" s="1"/>
  <c r="W39" i="6"/>
  <c r="X39" i="6" s="1"/>
  <c r="W40" i="6"/>
  <c r="X40" i="6" s="1"/>
  <c r="W41" i="6"/>
  <c r="X41" i="6" s="1"/>
  <c r="W42" i="6"/>
  <c r="X42" i="6" s="1"/>
  <c r="W43" i="6"/>
  <c r="X43" i="6" s="1"/>
  <c r="W44" i="6"/>
  <c r="X44" i="6" s="1"/>
  <c r="W45" i="6"/>
  <c r="X45" i="6" s="1"/>
  <c r="W46" i="6"/>
  <c r="X46" i="6" s="1"/>
  <c r="W47" i="6"/>
  <c r="X47" i="6" s="1"/>
  <c r="W48" i="6"/>
  <c r="X48" i="6" s="1"/>
  <c r="W8" i="6"/>
  <c r="X8" i="6" s="1"/>
  <c r="W9" i="6"/>
  <c r="X9" i="6" s="1"/>
  <c r="W10" i="6"/>
  <c r="X10" i="6" s="1"/>
  <c r="W11" i="6"/>
  <c r="X11" i="6" s="1"/>
  <c r="W12" i="6"/>
  <c r="X12" i="6" s="1"/>
  <c r="W13" i="6"/>
  <c r="X13" i="6" s="1"/>
  <c r="W14" i="6"/>
  <c r="X14" i="6" s="1"/>
  <c r="W15" i="6"/>
  <c r="X15" i="6" s="1"/>
  <c r="W16" i="6"/>
  <c r="X16" i="6" s="1"/>
  <c r="W17" i="6"/>
  <c r="X17" i="6" s="1"/>
  <c r="W18" i="6"/>
  <c r="X18" i="6" s="1"/>
  <c r="W19" i="6"/>
  <c r="X19" i="6" s="1"/>
  <c r="W20" i="6"/>
  <c r="X20" i="6" s="1"/>
  <c r="W21" i="6"/>
  <c r="X21" i="6" s="1"/>
  <c r="W22" i="6"/>
  <c r="X22" i="6" s="1"/>
  <c r="W23" i="6"/>
  <c r="X23" i="6" s="1"/>
  <c r="W24" i="6"/>
  <c r="X24" i="6" s="1"/>
  <c r="W25" i="6"/>
  <c r="X25" i="6" s="1"/>
  <c r="W26" i="6"/>
  <c r="X26" i="6" s="1"/>
  <c r="W27" i="6"/>
  <c r="X27" i="6" s="1"/>
  <c r="W28" i="6"/>
  <c r="X28" i="6" s="1"/>
  <c r="W29" i="6"/>
  <c r="X29" i="6" s="1"/>
  <c r="W30" i="6"/>
  <c r="X30" i="6" s="1"/>
  <c r="W7" i="6"/>
  <c r="X7" i="6" s="1"/>
  <c r="W3" i="6"/>
  <c r="X3" i="6" s="1"/>
  <c r="W4" i="6"/>
  <c r="X4" i="6" s="1"/>
  <c r="W5" i="6"/>
  <c r="X5" i="6" s="1"/>
  <c r="W6" i="6"/>
  <c r="X6" i="6" s="1"/>
  <c r="W2" i="6"/>
  <c r="X2" i="6" s="1"/>
  <c r="Z2" i="1"/>
  <c r="Z141" i="6" l="1"/>
  <c r="Z144" i="6"/>
  <c r="Z148" i="6"/>
  <c r="Z146" i="6"/>
  <c r="Z142" i="6"/>
  <c r="Z140" i="6"/>
  <c r="Z139" i="6"/>
  <c r="O72" i="6"/>
  <c r="Z288" i="6"/>
  <c r="Z287" i="6"/>
  <c r="Z286" i="6"/>
  <c r="Z285" i="6"/>
  <c r="Z284" i="6"/>
  <c r="Z283" i="6"/>
  <c r="Z282" i="6"/>
  <c r="Z281" i="6"/>
  <c r="Z280" i="6"/>
  <c r="Z279" i="6"/>
  <c r="Z278" i="6"/>
  <c r="Z277" i="6"/>
  <c r="Z276" i="6"/>
  <c r="Z275" i="6"/>
  <c r="Z274" i="6"/>
  <c r="Z273" i="6"/>
  <c r="Z264" i="6"/>
  <c r="Z263" i="6"/>
  <c r="Z262" i="6"/>
  <c r="Z261" i="6"/>
  <c r="Z260" i="6"/>
  <c r="Z259" i="6"/>
  <c r="Z258" i="6"/>
  <c r="Z257" i="6"/>
  <c r="Z256" i="6"/>
  <c r="Z255" i="6"/>
  <c r="Z254" i="6"/>
  <c r="Z253" i="6"/>
  <c r="Z240" i="6"/>
  <c r="Z239" i="6"/>
  <c r="Z238" i="6"/>
  <c r="Z237" i="6"/>
  <c r="Z236" i="6"/>
  <c r="Z235" i="6"/>
  <c r="Z220" i="6"/>
  <c r="Z219" i="6"/>
  <c r="Z218" i="6"/>
  <c r="Z217" i="6"/>
  <c r="Z216" i="6"/>
  <c r="Z215" i="6"/>
  <c r="Z214" i="6"/>
  <c r="Z213" i="6"/>
  <c r="Z212" i="6"/>
  <c r="Z208" i="6"/>
  <c r="Z196" i="6"/>
  <c r="Z195" i="6"/>
  <c r="Z194" i="6"/>
  <c r="Z181" i="6"/>
  <c r="Z180" i="6"/>
  <c r="Z179" i="6"/>
  <c r="Z175" i="6"/>
  <c r="Z174" i="6"/>
  <c r="Z173" i="6"/>
  <c r="Z172" i="6"/>
  <c r="Z171" i="6"/>
  <c r="Z170" i="6"/>
  <c r="Z157" i="6"/>
  <c r="Z156" i="6"/>
  <c r="Z155" i="6"/>
  <c r="Z154" i="6"/>
  <c r="Z153" i="6"/>
  <c r="Z152" i="6"/>
  <c r="Z151" i="6"/>
  <c r="Z150" i="6"/>
  <c r="Z149" i="6"/>
  <c r="Z147" i="6"/>
  <c r="Z138" i="6"/>
  <c r="Z137" i="6"/>
  <c r="Z136" i="6"/>
  <c r="Z135" i="6"/>
  <c r="Z134" i="6"/>
  <c r="Z133" i="6"/>
  <c r="Z132" i="6"/>
  <c r="Z131" i="6"/>
  <c r="Z80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O57" i="8"/>
  <c r="O56" i="8"/>
  <c r="O55" i="8"/>
  <c r="O54" i="8"/>
  <c r="O53" i="8"/>
  <c r="O52" i="8"/>
  <c r="T53" i="8"/>
  <c r="T54" i="8"/>
  <c r="T55" i="8"/>
  <c r="T56" i="8"/>
  <c r="T57" i="8"/>
  <c r="T52" i="8"/>
  <c r="O35" i="8"/>
  <c r="O34" i="8"/>
  <c r="O33" i="8"/>
  <c r="O32" i="8"/>
  <c r="T35" i="8"/>
  <c r="T34" i="8"/>
  <c r="T33" i="8"/>
  <c r="T32" i="8"/>
  <c r="T7" i="8"/>
  <c r="T6" i="8"/>
  <c r="O7" i="8"/>
  <c r="O6" i="8"/>
  <c r="O5" i="8"/>
  <c r="O4" i="8"/>
  <c r="O3" i="8"/>
  <c r="O2" i="8"/>
  <c r="T3" i="8"/>
  <c r="T4" i="8"/>
  <c r="T5" i="8"/>
  <c r="T2" i="8"/>
  <c r="R32" i="8"/>
  <c r="M32" i="8"/>
  <c r="M33" i="8"/>
  <c r="R3" i="8"/>
  <c r="R4" i="8"/>
  <c r="R5" i="8"/>
  <c r="R6" i="8"/>
  <c r="R7" i="8"/>
  <c r="R2" i="8"/>
  <c r="AB2" i="8" s="1"/>
  <c r="M3" i="8"/>
  <c r="AB3" i="8" s="1"/>
  <c r="M4" i="8"/>
  <c r="AB4" i="8" s="1"/>
  <c r="M5" i="8"/>
  <c r="AB5" i="8" s="1"/>
  <c r="M6" i="8"/>
  <c r="AB6" i="8" s="1"/>
  <c r="M7" i="8"/>
  <c r="M2" i="8"/>
  <c r="AD22" i="8"/>
  <c r="AD23" i="8"/>
  <c r="AD24" i="8"/>
  <c r="AD25" i="8"/>
  <c r="AD26" i="8"/>
  <c r="AD27" i="8"/>
  <c r="AD42" i="8"/>
  <c r="AD43" i="8"/>
  <c r="AD44" i="8"/>
  <c r="AD45" i="8"/>
  <c r="AD46" i="8"/>
  <c r="AD47" i="8"/>
  <c r="AD48" i="8"/>
  <c r="AD49" i="8"/>
  <c r="AC22" i="8"/>
  <c r="AC23" i="8"/>
  <c r="AC24" i="8"/>
  <c r="AC25" i="8"/>
  <c r="AC26" i="8"/>
  <c r="AC27" i="8"/>
  <c r="AC42" i="8"/>
  <c r="AC43" i="8"/>
  <c r="AC44" i="8"/>
  <c r="AC45" i="8"/>
  <c r="AC46" i="8"/>
  <c r="AC47" i="8"/>
  <c r="AC48" i="8"/>
  <c r="AC49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M35" i="8"/>
  <c r="AB35" i="8" s="1"/>
  <c r="M53" i="8"/>
  <c r="M54" i="8"/>
  <c r="M55" i="8"/>
  <c r="AB55" i="8" s="1"/>
  <c r="M56" i="8"/>
  <c r="AB56" i="8" s="1"/>
  <c r="M57" i="8"/>
  <c r="AB57" i="8" s="1"/>
  <c r="M52" i="8"/>
  <c r="AB52" i="8" s="1"/>
  <c r="R53" i="8"/>
  <c r="R54" i="8"/>
  <c r="R55" i="8"/>
  <c r="R56" i="8"/>
  <c r="R57" i="8"/>
  <c r="R52" i="8"/>
  <c r="R33" i="8"/>
  <c r="R34" i="8"/>
  <c r="R35" i="8"/>
  <c r="M34" i="8"/>
  <c r="AA12" i="3"/>
  <c r="AA13" i="3"/>
  <c r="Z11" i="3"/>
  <c r="Z12" i="3"/>
  <c r="Z15" i="3"/>
  <c r="Z14" i="3"/>
  <c r="Z13" i="3"/>
  <c r="Z60" i="4"/>
  <c r="S15" i="3"/>
  <c r="S19" i="3"/>
  <c r="Z61" i="1"/>
  <c r="Z62" i="1"/>
  <c r="Z63" i="1"/>
  <c r="Z40" i="1"/>
  <c r="Z41" i="1"/>
  <c r="Z42" i="1"/>
  <c r="Z43" i="1"/>
  <c r="AB54" i="8" l="1"/>
  <c r="AB53" i="8"/>
  <c r="AB34" i="8"/>
  <c r="AB7" i="8"/>
  <c r="O54" i="6"/>
  <c r="AA54" i="6" s="1"/>
  <c r="S54" i="6"/>
  <c r="AB54" i="6" s="1"/>
  <c r="Z306" i="6"/>
  <c r="AA270" i="6"/>
  <c r="AA235" i="6"/>
  <c r="Z27" i="6"/>
  <c r="S55" i="6"/>
  <c r="AB55" i="6" s="1"/>
  <c r="S56" i="6"/>
  <c r="AB56" i="6" s="1"/>
  <c r="S57" i="6"/>
  <c r="AB57" i="6" s="1"/>
  <c r="S58" i="6"/>
  <c r="AB58" i="6" s="1"/>
  <c r="S59" i="6"/>
  <c r="AB59" i="6" s="1"/>
  <c r="S60" i="6"/>
  <c r="AB60" i="6" s="1"/>
  <c r="S61" i="6"/>
  <c r="AB61" i="6" s="1"/>
  <c r="P10" i="8"/>
  <c r="AC10" i="8" s="1"/>
  <c r="U10" i="8"/>
  <c r="AD10" i="8" s="1"/>
  <c r="S93" i="4"/>
  <c r="AB93" i="4" s="1"/>
  <c r="S92" i="4"/>
  <c r="AB92" i="4" s="1"/>
  <c r="O93" i="4"/>
  <c r="AA93" i="4" s="1"/>
  <c r="O92" i="4"/>
  <c r="AA92" i="4" s="1"/>
  <c r="O117" i="4"/>
  <c r="AA117" i="4" s="1"/>
  <c r="S22" i="2"/>
  <c r="AB22" i="2" s="1"/>
  <c r="AB72" i="2"/>
  <c r="AC72" i="2" s="1"/>
  <c r="S2" i="1"/>
  <c r="AB2" i="1" s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AA23" i="2"/>
  <c r="AB23" i="2"/>
  <c r="Z24" i="2"/>
  <c r="AA24" i="2"/>
  <c r="AB24" i="2"/>
  <c r="Z25" i="2"/>
  <c r="AA25" i="2"/>
  <c r="AB25" i="2"/>
  <c r="AC25" i="2" s="1"/>
  <c r="Z26" i="2"/>
  <c r="AA26" i="2"/>
  <c r="AB26" i="2"/>
  <c r="Z27" i="2"/>
  <c r="AA27" i="2"/>
  <c r="AB27" i="2"/>
  <c r="Z28" i="2"/>
  <c r="AA28" i="2"/>
  <c r="AB28" i="2"/>
  <c r="Z29" i="2"/>
  <c r="AA29" i="2"/>
  <c r="AB29" i="2"/>
  <c r="Z30" i="2"/>
  <c r="AA30" i="2"/>
  <c r="AB30" i="2"/>
  <c r="Z31" i="2"/>
  <c r="AA31" i="2"/>
  <c r="AB31" i="2"/>
  <c r="AC31" i="2"/>
  <c r="Z32" i="2"/>
  <c r="AA32" i="2"/>
  <c r="AB32" i="2"/>
  <c r="AC32" i="2"/>
  <c r="Z33" i="2"/>
  <c r="AA33" i="2"/>
  <c r="AB33" i="2"/>
  <c r="Z34" i="2"/>
  <c r="AA34" i="2"/>
  <c r="AB34" i="2"/>
  <c r="Z35" i="2"/>
  <c r="Z36" i="2"/>
  <c r="Z37" i="2"/>
  <c r="Z38" i="2"/>
  <c r="Z39" i="2"/>
  <c r="Z40" i="2"/>
  <c r="Z41" i="2"/>
  <c r="AB41" i="2"/>
  <c r="Z42" i="2"/>
  <c r="Z43" i="2"/>
  <c r="Z44" i="2"/>
  <c r="Z45" i="2"/>
  <c r="Z46" i="2"/>
  <c r="Z47" i="2"/>
  <c r="Z48" i="2"/>
  <c r="Z49" i="2"/>
  <c r="Z50" i="2"/>
  <c r="Z51" i="2"/>
  <c r="Z52" i="2"/>
  <c r="AA52" i="2"/>
  <c r="AB52" i="2"/>
  <c r="Z53" i="2"/>
  <c r="AA53" i="2"/>
  <c r="AB53" i="2"/>
  <c r="Z54" i="2"/>
  <c r="AA54" i="2"/>
  <c r="AB54" i="2"/>
  <c r="Z55" i="2"/>
  <c r="AA55" i="2"/>
  <c r="AB55" i="2"/>
  <c r="Z56" i="2"/>
  <c r="AA56" i="2"/>
  <c r="AB56" i="2"/>
  <c r="Z57" i="2"/>
  <c r="AA57" i="2"/>
  <c r="AC57" i="2" s="1"/>
  <c r="AB57" i="2"/>
  <c r="Z58" i="2"/>
  <c r="AA58" i="2"/>
  <c r="AB58" i="2"/>
  <c r="Z59" i="2"/>
  <c r="AA59" i="2"/>
  <c r="AB59" i="2"/>
  <c r="Z60" i="2"/>
  <c r="AA60" i="2"/>
  <c r="AB60" i="2"/>
  <c r="Z61" i="2"/>
  <c r="AA61" i="2"/>
  <c r="AB61" i="2"/>
  <c r="AC61" i="2" s="1"/>
  <c r="Z62" i="2"/>
  <c r="AA62" i="2"/>
  <c r="AB62" i="2"/>
  <c r="Z63" i="2"/>
  <c r="AA63" i="2"/>
  <c r="AB63" i="2"/>
  <c r="Z64" i="2"/>
  <c r="AA64" i="2"/>
  <c r="AB64" i="2"/>
  <c r="Z65" i="2"/>
  <c r="AA65" i="2"/>
  <c r="AB65" i="2"/>
  <c r="Z66" i="2"/>
  <c r="AA66" i="2"/>
  <c r="AB66" i="2"/>
  <c r="Z67" i="2"/>
  <c r="Z68" i="2"/>
  <c r="AA68" i="2"/>
  <c r="AB68" i="2"/>
  <c r="Z69" i="2"/>
  <c r="AA69" i="2"/>
  <c r="AB69" i="2"/>
  <c r="Z70" i="2"/>
  <c r="AA70" i="2"/>
  <c r="AB70" i="2"/>
  <c r="Z71" i="2"/>
  <c r="AA71" i="2"/>
  <c r="AB71" i="2"/>
  <c r="Z72" i="2"/>
  <c r="AA72" i="2"/>
  <c r="Z73" i="2"/>
  <c r="AA73" i="2"/>
  <c r="AB73" i="2"/>
  <c r="Z74" i="2"/>
  <c r="AA74" i="2"/>
  <c r="AB74" i="2"/>
  <c r="AC74" i="2"/>
  <c r="Z75" i="2"/>
  <c r="AA75" i="2"/>
  <c r="AB75" i="2"/>
  <c r="S67" i="2"/>
  <c r="AB67" i="2" s="1"/>
  <c r="S51" i="2"/>
  <c r="AB51" i="2" s="1"/>
  <c r="S36" i="2"/>
  <c r="AB36" i="2" s="1"/>
  <c r="S37" i="2"/>
  <c r="AB37" i="2" s="1"/>
  <c r="S38" i="2"/>
  <c r="AB38" i="2" s="1"/>
  <c r="S39" i="2"/>
  <c r="AB39" i="2" s="1"/>
  <c r="S40" i="2"/>
  <c r="AB40" i="2" s="1"/>
  <c r="S41" i="2"/>
  <c r="S42" i="2"/>
  <c r="AB42" i="2" s="1"/>
  <c r="S43" i="2"/>
  <c r="AB43" i="2" s="1"/>
  <c r="S44" i="2"/>
  <c r="AB44" i="2" s="1"/>
  <c r="S45" i="2"/>
  <c r="AB45" i="2" s="1"/>
  <c r="S46" i="2"/>
  <c r="AB46" i="2" s="1"/>
  <c r="S47" i="2"/>
  <c r="AB47" i="2" s="1"/>
  <c r="S48" i="2"/>
  <c r="AB48" i="2" s="1"/>
  <c r="S49" i="2"/>
  <c r="AB49" i="2" s="1"/>
  <c r="S50" i="2"/>
  <c r="AB50" i="2" s="1"/>
  <c r="S35" i="2"/>
  <c r="AB35" i="2" s="1"/>
  <c r="S3" i="2"/>
  <c r="AB3" i="2" s="1"/>
  <c r="S4" i="2"/>
  <c r="AB4" i="2" s="1"/>
  <c r="S5" i="2"/>
  <c r="AB5" i="2" s="1"/>
  <c r="S6" i="2"/>
  <c r="AB6" i="2" s="1"/>
  <c r="S7" i="2"/>
  <c r="AB7" i="2" s="1"/>
  <c r="S8" i="2"/>
  <c r="AB8" i="2" s="1"/>
  <c r="S9" i="2"/>
  <c r="AB9" i="2" s="1"/>
  <c r="S10" i="2"/>
  <c r="AB10" i="2" s="1"/>
  <c r="S11" i="2"/>
  <c r="AB11" i="2" s="1"/>
  <c r="S12" i="2"/>
  <c r="AB12" i="2" s="1"/>
  <c r="S13" i="2"/>
  <c r="AB13" i="2" s="1"/>
  <c r="S14" i="2"/>
  <c r="AB14" i="2" s="1"/>
  <c r="S15" i="2"/>
  <c r="AB15" i="2" s="1"/>
  <c r="S16" i="2"/>
  <c r="AB16" i="2" s="1"/>
  <c r="S17" i="2"/>
  <c r="AB17" i="2" s="1"/>
  <c r="S18" i="2"/>
  <c r="AB18" i="2" s="1"/>
  <c r="S19" i="2"/>
  <c r="AB19" i="2" s="1"/>
  <c r="S20" i="2"/>
  <c r="AB20" i="2" s="1"/>
  <c r="S21" i="2"/>
  <c r="AB21" i="2" s="1"/>
  <c r="Z3" i="3"/>
  <c r="Z4" i="3"/>
  <c r="Z5" i="3"/>
  <c r="Z6" i="3"/>
  <c r="Z7" i="3"/>
  <c r="Z8" i="3"/>
  <c r="Z9" i="3"/>
  <c r="Z10" i="3"/>
  <c r="AA10" i="3"/>
  <c r="AB10" i="3"/>
  <c r="AA11" i="3"/>
  <c r="AB11" i="3"/>
  <c r="AB12" i="3"/>
  <c r="AC12" i="3" s="1"/>
  <c r="AB13" i="3"/>
  <c r="AC13" i="3" s="1"/>
  <c r="AA14" i="3"/>
  <c r="AB14" i="3"/>
  <c r="AB15" i="3"/>
  <c r="Z16" i="3"/>
  <c r="Z17" i="3"/>
  <c r="Z18" i="3"/>
  <c r="Z19" i="3"/>
  <c r="AB19" i="3"/>
  <c r="Z20" i="3"/>
  <c r="Z21" i="3"/>
  <c r="Z22" i="3"/>
  <c r="AA22" i="3"/>
  <c r="S16" i="3"/>
  <c r="AB16" i="3" s="1"/>
  <c r="S17" i="3"/>
  <c r="AB17" i="3" s="1"/>
  <c r="S18" i="3"/>
  <c r="AB18" i="3" s="1"/>
  <c r="S20" i="3"/>
  <c r="AB20" i="3" s="1"/>
  <c r="S21" i="3"/>
  <c r="AB21" i="3" s="1"/>
  <c r="S22" i="3"/>
  <c r="AB22" i="3" s="1"/>
  <c r="S9" i="3"/>
  <c r="AB9" i="3" s="1"/>
  <c r="O9" i="3"/>
  <c r="AA9" i="3" s="1"/>
  <c r="O16" i="3"/>
  <c r="AA16" i="3" s="1"/>
  <c r="O17" i="3"/>
  <c r="AA17" i="3" s="1"/>
  <c r="O18" i="3"/>
  <c r="AA18" i="3" s="1"/>
  <c r="O19" i="3"/>
  <c r="AA19" i="3" s="1"/>
  <c r="O20" i="3"/>
  <c r="AA20" i="3" s="1"/>
  <c r="O21" i="3"/>
  <c r="AA21" i="3" s="1"/>
  <c r="O22" i="3"/>
  <c r="O15" i="3"/>
  <c r="AA15" i="3" s="1"/>
  <c r="O3" i="3"/>
  <c r="AA3" i="3" s="1"/>
  <c r="O4" i="3"/>
  <c r="AA4" i="3" s="1"/>
  <c r="O5" i="3"/>
  <c r="AA5" i="3" s="1"/>
  <c r="O6" i="3"/>
  <c r="AA6" i="3" s="1"/>
  <c r="O7" i="3"/>
  <c r="AA7" i="3" s="1"/>
  <c r="O8" i="3"/>
  <c r="AA8" i="3" s="1"/>
  <c r="S3" i="3"/>
  <c r="AB3" i="3" s="1"/>
  <c r="S4" i="3"/>
  <c r="AB4" i="3" s="1"/>
  <c r="S5" i="3"/>
  <c r="AB5" i="3" s="1"/>
  <c r="S6" i="3"/>
  <c r="AB6" i="3" s="1"/>
  <c r="S7" i="3"/>
  <c r="AB7" i="3" s="1"/>
  <c r="S8" i="3"/>
  <c r="AB8" i="3" s="1"/>
  <c r="Z24" i="4"/>
  <c r="Z19" i="4"/>
  <c r="Z20" i="4"/>
  <c r="Z21" i="4"/>
  <c r="Z22" i="4"/>
  <c r="Z23" i="4"/>
  <c r="Z25" i="4"/>
  <c r="Z26" i="4"/>
  <c r="O24" i="4"/>
  <c r="AA24" i="4" s="1"/>
  <c r="S24" i="4"/>
  <c r="AB24" i="4" s="1"/>
  <c r="Z3" i="4"/>
  <c r="AA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27" i="4"/>
  <c r="Z28" i="4"/>
  <c r="AB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AA47" i="4"/>
  <c r="AB47" i="4"/>
  <c r="AC47" i="4"/>
  <c r="Z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AC53" i="4"/>
  <c r="Z54" i="4"/>
  <c r="AA54" i="4"/>
  <c r="AB54" i="4"/>
  <c r="Z55" i="4"/>
  <c r="AA55" i="4"/>
  <c r="AB55" i="4"/>
  <c r="Z56" i="4"/>
  <c r="AA56" i="4"/>
  <c r="AC56" i="4" s="1"/>
  <c r="AB56" i="4"/>
  <c r="Z57" i="4"/>
  <c r="AA57" i="4"/>
  <c r="AB57" i="4"/>
  <c r="AC57" i="4" s="1"/>
  <c r="Z58" i="4"/>
  <c r="AA58" i="4"/>
  <c r="AB58" i="4"/>
  <c r="Z59" i="4"/>
  <c r="Z61" i="4"/>
  <c r="Z62" i="4"/>
  <c r="Z63" i="4"/>
  <c r="AB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AA89" i="4"/>
  <c r="AB89" i="4"/>
  <c r="Z90" i="4"/>
  <c r="AA90" i="4"/>
  <c r="AB90" i="4"/>
  <c r="AC90" i="4"/>
  <c r="Z91" i="4"/>
  <c r="AA91" i="4"/>
  <c r="AB91" i="4"/>
  <c r="Z92" i="4"/>
  <c r="Z93" i="4"/>
  <c r="Z94" i="4"/>
  <c r="AA94" i="4"/>
  <c r="AB94" i="4"/>
  <c r="Z95" i="4"/>
  <c r="AA95" i="4"/>
  <c r="AB95" i="4"/>
  <c r="Z96" i="4"/>
  <c r="AA96" i="4"/>
  <c r="AB96" i="4"/>
  <c r="Z97" i="4"/>
  <c r="AA97" i="4"/>
  <c r="AB97" i="4"/>
  <c r="AC97" i="4" s="1"/>
  <c r="Z98" i="4"/>
  <c r="AA98" i="4"/>
  <c r="AB98" i="4"/>
  <c r="Z99" i="4"/>
  <c r="AA99" i="4"/>
  <c r="AB99" i="4"/>
  <c r="Z100" i="4"/>
  <c r="AA100" i="4"/>
  <c r="AB100" i="4"/>
  <c r="Z101" i="4"/>
  <c r="AA101" i="4"/>
  <c r="AB101" i="4"/>
  <c r="Z102" i="4"/>
  <c r="AA102" i="4"/>
  <c r="AB102" i="4"/>
  <c r="AC102" i="4"/>
  <c r="Z103" i="4"/>
  <c r="AA103" i="4"/>
  <c r="AC103" i="4" s="1"/>
  <c r="AB103" i="4"/>
  <c r="Z104" i="4"/>
  <c r="AA104" i="4"/>
  <c r="AB104" i="4"/>
  <c r="Z105" i="4"/>
  <c r="AA105" i="4"/>
  <c r="AB105" i="4"/>
  <c r="Z106" i="4"/>
  <c r="AA106" i="4"/>
  <c r="AB106" i="4"/>
  <c r="AC106" i="4"/>
  <c r="Z107" i="4"/>
  <c r="AA107" i="4"/>
  <c r="AB107" i="4"/>
  <c r="Z108" i="4"/>
  <c r="AA108" i="4"/>
  <c r="AB108" i="4"/>
  <c r="Z109" i="4"/>
  <c r="AA109" i="4"/>
  <c r="AB109" i="4"/>
  <c r="Z110" i="4"/>
  <c r="AA110" i="4"/>
  <c r="AB110" i="4"/>
  <c r="AC110" i="4"/>
  <c r="Z111" i="4"/>
  <c r="AA111" i="4"/>
  <c r="AB111" i="4"/>
  <c r="Z112" i="4"/>
  <c r="AA112" i="4"/>
  <c r="AB112" i="4"/>
  <c r="AC112" i="4"/>
  <c r="Z113" i="4"/>
  <c r="AA113" i="4"/>
  <c r="AB113" i="4"/>
  <c r="AC113" i="4"/>
  <c r="Z114" i="4"/>
  <c r="AA114" i="4"/>
  <c r="AB114" i="4"/>
  <c r="Z115" i="4"/>
  <c r="Z116" i="4"/>
  <c r="Z117" i="4"/>
  <c r="Z118" i="4"/>
  <c r="AA118" i="4"/>
  <c r="AB118" i="4"/>
  <c r="Z119" i="4"/>
  <c r="AA119" i="4"/>
  <c r="AB119" i="4"/>
  <c r="Z120" i="4"/>
  <c r="AA120" i="4"/>
  <c r="AB120" i="4"/>
  <c r="AC120" i="4" s="1"/>
  <c r="Z121" i="4"/>
  <c r="AA121" i="4"/>
  <c r="AB121" i="4"/>
  <c r="AC121" i="4"/>
  <c r="Z122" i="4"/>
  <c r="AA122" i="4"/>
  <c r="AB122" i="4"/>
  <c r="Z123" i="4"/>
  <c r="AA123" i="4"/>
  <c r="AB123" i="4"/>
  <c r="Z124" i="4"/>
  <c r="AA124" i="4"/>
  <c r="AB124" i="4"/>
  <c r="Z125" i="4"/>
  <c r="AA125" i="4"/>
  <c r="AB125" i="4"/>
  <c r="Z126" i="4"/>
  <c r="AA126" i="4"/>
  <c r="AB126" i="4"/>
  <c r="Z127" i="4"/>
  <c r="AA127" i="4"/>
  <c r="AB127" i="4"/>
  <c r="Z128" i="4"/>
  <c r="AA128" i="4"/>
  <c r="AB128" i="4"/>
  <c r="Z129" i="4"/>
  <c r="AA129" i="4"/>
  <c r="AB129" i="4"/>
  <c r="Z130" i="4"/>
  <c r="AA130" i="4"/>
  <c r="AB130" i="4"/>
  <c r="Z131" i="4"/>
  <c r="AA131" i="4"/>
  <c r="AB131" i="4"/>
  <c r="Z132" i="4"/>
  <c r="AA132" i="4"/>
  <c r="AB132" i="4"/>
  <c r="AC132" i="4"/>
  <c r="Z133" i="4"/>
  <c r="AA133" i="4"/>
  <c r="AB133" i="4"/>
  <c r="Z134" i="4"/>
  <c r="Z135" i="4"/>
  <c r="Z136" i="4"/>
  <c r="Z137" i="4"/>
  <c r="Z138" i="4"/>
  <c r="Z139" i="4"/>
  <c r="U21" i="8"/>
  <c r="AD21" i="8" s="1"/>
  <c r="P21" i="8"/>
  <c r="AC21" i="8" s="1"/>
  <c r="AE21" i="8" s="1"/>
  <c r="U41" i="8"/>
  <c r="AD41" i="8" s="1"/>
  <c r="P41" i="8"/>
  <c r="AC41" i="8" s="1"/>
  <c r="S88" i="4"/>
  <c r="AB88" i="4" s="1"/>
  <c r="O88" i="4"/>
  <c r="AA88" i="4" s="1"/>
  <c r="S134" i="4"/>
  <c r="AB134" i="4" s="1"/>
  <c r="S135" i="4"/>
  <c r="AB135" i="4" s="1"/>
  <c r="S136" i="4"/>
  <c r="AB136" i="4" s="1"/>
  <c r="S137" i="4"/>
  <c r="AB137" i="4" s="1"/>
  <c r="S138" i="4"/>
  <c r="AB138" i="4" s="1"/>
  <c r="S139" i="4"/>
  <c r="AB139" i="4" s="1"/>
  <c r="O135" i="4"/>
  <c r="AA135" i="4" s="1"/>
  <c r="O136" i="4"/>
  <c r="AA136" i="4" s="1"/>
  <c r="O137" i="4"/>
  <c r="AA137" i="4" s="1"/>
  <c r="O138" i="4"/>
  <c r="AA138" i="4" s="1"/>
  <c r="O139" i="4"/>
  <c r="AA139" i="4" s="1"/>
  <c r="O134" i="4"/>
  <c r="AA134" i="4" s="1"/>
  <c r="S116" i="4"/>
  <c r="AB116" i="4" s="1"/>
  <c r="S117" i="4"/>
  <c r="AB117" i="4" s="1"/>
  <c r="S115" i="4"/>
  <c r="AB115" i="4" s="1"/>
  <c r="O116" i="4"/>
  <c r="AA116" i="4" s="1"/>
  <c r="AC116" i="4" s="1"/>
  <c r="O115" i="4"/>
  <c r="AA115" i="4" s="1"/>
  <c r="S48" i="4"/>
  <c r="AB48" i="4" s="1"/>
  <c r="O48" i="4"/>
  <c r="AA48" i="4" s="1"/>
  <c r="S60" i="4"/>
  <c r="AB60" i="4" s="1"/>
  <c r="S61" i="4"/>
  <c r="AB61" i="4" s="1"/>
  <c r="S62" i="4"/>
  <c r="AB62" i="4" s="1"/>
  <c r="S63" i="4"/>
  <c r="S64" i="4"/>
  <c r="AB64" i="4" s="1"/>
  <c r="S65" i="4"/>
  <c r="AB65" i="4" s="1"/>
  <c r="S66" i="4"/>
  <c r="AB66" i="4" s="1"/>
  <c r="S67" i="4"/>
  <c r="AB67" i="4" s="1"/>
  <c r="S68" i="4"/>
  <c r="AB68" i="4" s="1"/>
  <c r="S69" i="4"/>
  <c r="AB69" i="4" s="1"/>
  <c r="S70" i="4"/>
  <c r="AB70" i="4" s="1"/>
  <c r="S71" i="4"/>
  <c r="AB71" i="4" s="1"/>
  <c r="S72" i="4"/>
  <c r="AB72" i="4" s="1"/>
  <c r="S73" i="4"/>
  <c r="AB73" i="4" s="1"/>
  <c r="S74" i="4"/>
  <c r="AB74" i="4" s="1"/>
  <c r="S75" i="4"/>
  <c r="AB75" i="4" s="1"/>
  <c r="S76" i="4"/>
  <c r="AB76" i="4" s="1"/>
  <c r="S77" i="4"/>
  <c r="AB77" i="4" s="1"/>
  <c r="S78" i="4"/>
  <c r="AB78" i="4" s="1"/>
  <c r="S79" i="4"/>
  <c r="AB79" i="4" s="1"/>
  <c r="S80" i="4"/>
  <c r="AB80" i="4" s="1"/>
  <c r="S81" i="4"/>
  <c r="AB81" i="4" s="1"/>
  <c r="S82" i="4"/>
  <c r="AB82" i="4" s="1"/>
  <c r="S83" i="4"/>
  <c r="AB83" i="4" s="1"/>
  <c r="S84" i="4"/>
  <c r="AB84" i="4" s="1"/>
  <c r="S85" i="4"/>
  <c r="AB85" i="4" s="1"/>
  <c r="S86" i="4"/>
  <c r="AB86" i="4" s="1"/>
  <c r="S87" i="4"/>
  <c r="AB87" i="4" s="1"/>
  <c r="O60" i="4"/>
  <c r="AA60" i="4" s="1"/>
  <c r="O61" i="4"/>
  <c r="AA61" i="4" s="1"/>
  <c r="AC61" i="4" s="1"/>
  <c r="O62" i="4"/>
  <c r="AA62" i="4" s="1"/>
  <c r="O63" i="4"/>
  <c r="AA63" i="4" s="1"/>
  <c r="O64" i="4"/>
  <c r="AA64" i="4" s="1"/>
  <c r="O65" i="4"/>
  <c r="AA65" i="4" s="1"/>
  <c r="O66" i="4"/>
  <c r="AA66" i="4" s="1"/>
  <c r="O67" i="4"/>
  <c r="AA67" i="4" s="1"/>
  <c r="O68" i="4"/>
  <c r="AA68" i="4" s="1"/>
  <c r="O69" i="4"/>
  <c r="AA69" i="4" s="1"/>
  <c r="O70" i="4"/>
  <c r="AA70" i="4" s="1"/>
  <c r="O71" i="4"/>
  <c r="AA71" i="4" s="1"/>
  <c r="O72" i="4"/>
  <c r="AA72" i="4" s="1"/>
  <c r="O73" i="4"/>
  <c r="AA73" i="4" s="1"/>
  <c r="O74" i="4"/>
  <c r="AA74" i="4" s="1"/>
  <c r="O75" i="4"/>
  <c r="AA75" i="4" s="1"/>
  <c r="O76" i="4"/>
  <c r="AA76" i="4" s="1"/>
  <c r="O77" i="4"/>
  <c r="AA77" i="4" s="1"/>
  <c r="O78" i="4"/>
  <c r="AA78" i="4" s="1"/>
  <c r="O79" i="4"/>
  <c r="AA79" i="4" s="1"/>
  <c r="AC79" i="4" s="1"/>
  <c r="O80" i="4"/>
  <c r="AA80" i="4" s="1"/>
  <c r="O81" i="4"/>
  <c r="AA81" i="4" s="1"/>
  <c r="O82" i="4"/>
  <c r="AA82" i="4" s="1"/>
  <c r="O83" i="4"/>
  <c r="AA83" i="4" s="1"/>
  <c r="O84" i="4"/>
  <c r="AA84" i="4" s="1"/>
  <c r="O85" i="4"/>
  <c r="AA85" i="4" s="1"/>
  <c r="O86" i="4"/>
  <c r="AA86" i="4" s="1"/>
  <c r="O87" i="4"/>
  <c r="AA87" i="4" s="1"/>
  <c r="S59" i="4"/>
  <c r="AB59" i="4" s="1"/>
  <c r="O59" i="4"/>
  <c r="AA59" i="4" s="1"/>
  <c r="AC59" i="4" s="1"/>
  <c r="S3" i="4"/>
  <c r="AB3" i="4" s="1"/>
  <c r="S4" i="4"/>
  <c r="AB4" i="4" s="1"/>
  <c r="S5" i="4"/>
  <c r="AB5" i="4" s="1"/>
  <c r="S6" i="4"/>
  <c r="AB6" i="4" s="1"/>
  <c r="S7" i="4"/>
  <c r="AB7" i="4" s="1"/>
  <c r="S8" i="4"/>
  <c r="AB8" i="4" s="1"/>
  <c r="S9" i="4"/>
  <c r="AB9" i="4" s="1"/>
  <c r="S10" i="4"/>
  <c r="AB10" i="4" s="1"/>
  <c r="S11" i="4"/>
  <c r="AB11" i="4" s="1"/>
  <c r="S12" i="4"/>
  <c r="AB12" i="4" s="1"/>
  <c r="S13" i="4"/>
  <c r="AB13" i="4" s="1"/>
  <c r="S14" i="4"/>
  <c r="AB14" i="4" s="1"/>
  <c r="S15" i="4"/>
  <c r="AB15" i="4" s="1"/>
  <c r="S16" i="4"/>
  <c r="AB16" i="4" s="1"/>
  <c r="S17" i="4"/>
  <c r="AB17" i="4" s="1"/>
  <c r="S18" i="4"/>
  <c r="AB18" i="4" s="1"/>
  <c r="S19" i="4"/>
  <c r="AB19" i="4" s="1"/>
  <c r="S20" i="4"/>
  <c r="AB20" i="4" s="1"/>
  <c r="S21" i="4"/>
  <c r="AB21" i="4" s="1"/>
  <c r="S22" i="4"/>
  <c r="AB22" i="4" s="1"/>
  <c r="S23" i="4"/>
  <c r="AB23" i="4" s="1"/>
  <c r="S25" i="4"/>
  <c r="AB25" i="4" s="1"/>
  <c r="S26" i="4"/>
  <c r="AB26" i="4" s="1"/>
  <c r="S27" i="4"/>
  <c r="AB27" i="4" s="1"/>
  <c r="S28" i="4"/>
  <c r="S29" i="4"/>
  <c r="AB29" i="4" s="1"/>
  <c r="S30" i="4"/>
  <c r="AB30" i="4" s="1"/>
  <c r="S31" i="4"/>
  <c r="AB31" i="4" s="1"/>
  <c r="S32" i="4"/>
  <c r="AB32" i="4" s="1"/>
  <c r="S33" i="4"/>
  <c r="AB33" i="4" s="1"/>
  <c r="S34" i="4"/>
  <c r="AB34" i="4" s="1"/>
  <c r="S35" i="4"/>
  <c r="AB35" i="4" s="1"/>
  <c r="S36" i="4"/>
  <c r="AB36" i="4" s="1"/>
  <c r="S37" i="4"/>
  <c r="AB37" i="4" s="1"/>
  <c r="S38" i="4"/>
  <c r="AB38" i="4" s="1"/>
  <c r="S39" i="4"/>
  <c r="AB39" i="4" s="1"/>
  <c r="S40" i="4"/>
  <c r="AB40" i="4" s="1"/>
  <c r="S41" i="4"/>
  <c r="AB41" i="4" s="1"/>
  <c r="S42" i="4"/>
  <c r="AB42" i="4" s="1"/>
  <c r="S43" i="4"/>
  <c r="AB43" i="4" s="1"/>
  <c r="S44" i="4"/>
  <c r="AB44" i="4" s="1"/>
  <c r="S45" i="4"/>
  <c r="AB45" i="4" s="1"/>
  <c r="S46" i="4"/>
  <c r="AB46" i="4" s="1"/>
  <c r="S47" i="4"/>
  <c r="O3" i="4"/>
  <c r="O4" i="4"/>
  <c r="AA4" i="4" s="1"/>
  <c r="O5" i="4"/>
  <c r="AA5" i="4" s="1"/>
  <c r="O6" i="4"/>
  <c r="AA6" i="4" s="1"/>
  <c r="O7" i="4"/>
  <c r="AA7" i="4" s="1"/>
  <c r="O8" i="4"/>
  <c r="AA8" i="4" s="1"/>
  <c r="O9" i="4"/>
  <c r="AA9" i="4" s="1"/>
  <c r="O10" i="4"/>
  <c r="AA10" i="4" s="1"/>
  <c r="O11" i="4"/>
  <c r="AA11" i="4" s="1"/>
  <c r="O12" i="4"/>
  <c r="AA12" i="4" s="1"/>
  <c r="O13" i="4"/>
  <c r="AA13" i="4" s="1"/>
  <c r="O14" i="4"/>
  <c r="AA14" i="4" s="1"/>
  <c r="O15" i="4"/>
  <c r="AA15" i="4" s="1"/>
  <c r="O16" i="4"/>
  <c r="AA16" i="4" s="1"/>
  <c r="O17" i="4"/>
  <c r="AA17" i="4" s="1"/>
  <c r="O18" i="4"/>
  <c r="AA18" i="4" s="1"/>
  <c r="AC18" i="4" s="1"/>
  <c r="O19" i="4"/>
  <c r="AA19" i="4" s="1"/>
  <c r="O20" i="4"/>
  <c r="AA20" i="4" s="1"/>
  <c r="O21" i="4"/>
  <c r="AA21" i="4" s="1"/>
  <c r="O22" i="4"/>
  <c r="AA22" i="4" s="1"/>
  <c r="O23" i="4"/>
  <c r="AA23" i="4" s="1"/>
  <c r="O25" i="4"/>
  <c r="AA25" i="4" s="1"/>
  <c r="O26" i="4"/>
  <c r="AA26" i="4" s="1"/>
  <c r="O27" i="4"/>
  <c r="AA27" i="4" s="1"/>
  <c r="AC27" i="4" s="1"/>
  <c r="O28" i="4"/>
  <c r="AA28" i="4" s="1"/>
  <c r="O29" i="4"/>
  <c r="AA29" i="4" s="1"/>
  <c r="O30" i="4"/>
  <c r="AA30" i="4" s="1"/>
  <c r="O31" i="4"/>
  <c r="AA31" i="4" s="1"/>
  <c r="O32" i="4"/>
  <c r="AA32" i="4" s="1"/>
  <c r="O33" i="4"/>
  <c r="AA33" i="4" s="1"/>
  <c r="O34" i="4"/>
  <c r="AA34" i="4" s="1"/>
  <c r="O35" i="4"/>
  <c r="AA35" i="4" s="1"/>
  <c r="O36" i="4"/>
  <c r="AA36" i="4" s="1"/>
  <c r="O37" i="4"/>
  <c r="AA37" i="4" s="1"/>
  <c r="O38" i="4"/>
  <c r="AA38" i="4" s="1"/>
  <c r="O39" i="4"/>
  <c r="AA39" i="4" s="1"/>
  <c r="O40" i="4"/>
  <c r="AA40" i="4" s="1"/>
  <c r="AC40" i="4" s="1"/>
  <c r="O41" i="4"/>
  <c r="AA41" i="4" s="1"/>
  <c r="O42" i="4"/>
  <c r="AA42" i="4" s="1"/>
  <c r="O43" i="4"/>
  <c r="AA43" i="4" s="1"/>
  <c r="O44" i="4"/>
  <c r="AA44" i="4" s="1"/>
  <c r="O45" i="4"/>
  <c r="AA45" i="4" s="1"/>
  <c r="O46" i="4"/>
  <c r="AA46" i="4" s="1"/>
  <c r="O47" i="4"/>
  <c r="AE22" i="8"/>
  <c r="AE23" i="8"/>
  <c r="AE25" i="8"/>
  <c r="AE26" i="8"/>
  <c r="AE43" i="8"/>
  <c r="AE44" i="8"/>
  <c r="AE45" i="8"/>
  <c r="AE48" i="8"/>
  <c r="AE49" i="8"/>
  <c r="U51" i="8"/>
  <c r="AD51" i="8" s="1"/>
  <c r="U52" i="8"/>
  <c r="AD52" i="8" s="1"/>
  <c r="U53" i="8"/>
  <c r="AD53" i="8" s="1"/>
  <c r="U54" i="8"/>
  <c r="AD54" i="8" s="1"/>
  <c r="U55" i="8"/>
  <c r="AD55" i="8" s="1"/>
  <c r="U56" i="8"/>
  <c r="AD56" i="8" s="1"/>
  <c r="U57" i="8"/>
  <c r="AD57" i="8" s="1"/>
  <c r="P51" i="8"/>
  <c r="AC51" i="8" s="1"/>
  <c r="P52" i="8"/>
  <c r="AC52" i="8" s="1"/>
  <c r="P53" i="8"/>
  <c r="AC53" i="8" s="1"/>
  <c r="P54" i="8"/>
  <c r="AC54" i="8" s="1"/>
  <c r="P55" i="8"/>
  <c r="P56" i="8"/>
  <c r="AC56" i="8" s="1"/>
  <c r="P57" i="8"/>
  <c r="AC57" i="8" s="1"/>
  <c r="P50" i="8"/>
  <c r="AC50" i="8" s="1"/>
  <c r="U50" i="8"/>
  <c r="AD50" i="8" s="1"/>
  <c r="U29" i="8"/>
  <c r="AD29" i="8" s="1"/>
  <c r="U30" i="8"/>
  <c r="AD30" i="8" s="1"/>
  <c r="U31" i="8"/>
  <c r="AD31" i="8" s="1"/>
  <c r="U32" i="8"/>
  <c r="AD32" i="8" s="1"/>
  <c r="U33" i="8"/>
  <c r="AD33" i="8" s="1"/>
  <c r="U34" i="8"/>
  <c r="AD34" i="8" s="1"/>
  <c r="U35" i="8"/>
  <c r="AD35" i="8" s="1"/>
  <c r="U36" i="8"/>
  <c r="AD36" i="8" s="1"/>
  <c r="U37" i="8"/>
  <c r="AD37" i="8" s="1"/>
  <c r="U38" i="8"/>
  <c r="AD38" i="8" s="1"/>
  <c r="U39" i="8"/>
  <c r="AD39" i="8" s="1"/>
  <c r="U40" i="8"/>
  <c r="AD40" i="8" s="1"/>
  <c r="U28" i="8"/>
  <c r="AD28" i="8" s="1"/>
  <c r="P29" i="8"/>
  <c r="AC29" i="8" s="1"/>
  <c r="P30" i="8"/>
  <c r="AC30" i="8" s="1"/>
  <c r="P31" i="8"/>
  <c r="AC31" i="8" s="1"/>
  <c r="P32" i="8"/>
  <c r="AC32" i="8" s="1"/>
  <c r="P33" i="8"/>
  <c r="AC33" i="8" s="1"/>
  <c r="P34" i="8"/>
  <c r="AC34" i="8" s="1"/>
  <c r="P35" i="8"/>
  <c r="AC35" i="8" s="1"/>
  <c r="P36" i="8"/>
  <c r="P37" i="8"/>
  <c r="P38" i="8"/>
  <c r="AC38" i="8" s="1"/>
  <c r="P39" i="8"/>
  <c r="AC39" i="8" s="1"/>
  <c r="AE39" i="8" s="1"/>
  <c r="P40" i="8"/>
  <c r="AC40" i="8" s="1"/>
  <c r="AE40" i="8" s="1"/>
  <c r="P28" i="8"/>
  <c r="AC28" i="8" s="1"/>
  <c r="AE28" i="8" s="1"/>
  <c r="U3" i="8"/>
  <c r="AD3" i="8" s="1"/>
  <c r="U4" i="8"/>
  <c r="AD4" i="8" s="1"/>
  <c r="U5" i="8"/>
  <c r="AD5" i="8" s="1"/>
  <c r="U6" i="8"/>
  <c r="AD6" i="8" s="1"/>
  <c r="U7" i="8"/>
  <c r="AD7" i="8" s="1"/>
  <c r="U8" i="8"/>
  <c r="AD8" i="8" s="1"/>
  <c r="U9" i="8"/>
  <c r="AD9" i="8" s="1"/>
  <c r="U11" i="8"/>
  <c r="AD11" i="8" s="1"/>
  <c r="U12" i="8"/>
  <c r="AD12" i="8" s="1"/>
  <c r="U13" i="8"/>
  <c r="AD13" i="8" s="1"/>
  <c r="U14" i="8"/>
  <c r="AD14" i="8" s="1"/>
  <c r="U15" i="8"/>
  <c r="AD15" i="8" s="1"/>
  <c r="U16" i="8"/>
  <c r="AD16" i="8" s="1"/>
  <c r="U17" i="8"/>
  <c r="AD17" i="8" s="1"/>
  <c r="U18" i="8"/>
  <c r="AD18" i="8" s="1"/>
  <c r="U19" i="8"/>
  <c r="AD19" i="8" s="1"/>
  <c r="U20" i="8"/>
  <c r="AD20" i="8" s="1"/>
  <c r="P3" i="8"/>
  <c r="AC3" i="8" s="1"/>
  <c r="P4" i="8"/>
  <c r="AC4" i="8" s="1"/>
  <c r="P5" i="8"/>
  <c r="AC5" i="8" s="1"/>
  <c r="P6" i="8"/>
  <c r="AC6" i="8" s="1"/>
  <c r="P7" i="8"/>
  <c r="AC7" i="8" s="1"/>
  <c r="P8" i="8"/>
  <c r="AC8" i="8" s="1"/>
  <c r="P9" i="8"/>
  <c r="AC9" i="8" s="1"/>
  <c r="P11" i="8"/>
  <c r="AC11" i="8" s="1"/>
  <c r="P12" i="8"/>
  <c r="AC12" i="8" s="1"/>
  <c r="P13" i="8"/>
  <c r="AC13" i="8" s="1"/>
  <c r="P14" i="8"/>
  <c r="AC14" i="8" s="1"/>
  <c r="P15" i="8"/>
  <c r="AC15" i="8" s="1"/>
  <c r="P16" i="8"/>
  <c r="AC16" i="8" s="1"/>
  <c r="P17" i="8"/>
  <c r="AC17" i="8" s="1"/>
  <c r="P18" i="8"/>
  <c r="AC18" i="8" s="1"/>
  <c r="P19" i="8"/>
  <c r="AC19" i="8" s="1"/>
  <c r="P20" i="8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O3" i="5"/>
  <c r="AA3" i="5" s="1"/>
  <c r="O4" i="5"/>
  <c r="AA4" i="5" s="1"/>
  <c r="O5" i="5"/>
  <c r="AA5" i="5" s="1"/>
  <c r="O6" i="5"/>
  <c r="AA6" i="5" s="1"/>
  <c r="O7" i="5"/>
  <c r="AA7" i="5" s="1"/>
  <c r="O8" i="5"/>
  <c r="AA8" i="5" s="1"/>
  <c r="O9" i="5"/>
  <c r="AA9" i="5" s="1"/>
  <c r="O10" i="5"/>
  <c r="AA10" i="5" s="1"/>
  <c r="O11" i="5"/>
  <c r="AA11" i="5" s="1"/>
  <c r="O12" i="5"/>
  <c r="AA12" i="5" s="1"/>
  <c r="O13" i="5"/>
  <c r="AA13" i="5" s="1"/>
  <c r="O14" i="5"/>
  <c r="AA14" i="5" s="1"/>
  <c r="AC14" i="5" s="1"/>
  <c r="O15" i="5"/>
  <c r="AA15" i="5" s="1"/>
  <c r="O16" i="5"/>
  <c r="AA16" i="5" s="1"/>
  <c r="O17" i="5"/>
  <c r="AA17" i="5" s="1"/>
  <c r="O18" i="5"/>
  <c r="AA18" i="5" s="1"/>
  <c r="O19" i="5"/>
  <c r="AA19" i="5" s="1"/>
  <c r="O20" i="5"/>
  <c r="AA20" i="5" s="1"/>
  <c r="O21" i="5"/>
  <c r="AA21" i="5" s="1"/>
  <c r="O22" i="5"/>
  <c r="AA22" i="5" s="1"/>
  <c r="O23" i="5"/>
  <c r="AA23" i="5" s="1"/>
  <c r="O24" i="5"/>
  <c r="AA24" i="5" s="1"/>
  <c r="O25" i="5"/>
  <c r="AA25" i="5" s="1"/>
  <c r="O26" i="5"/>
  <c r="AA26" i="5" s="1"/>
  <c r="O27" i="5"/>
  <c r="AA27" i="5" s="1"/>
  <c r="O28" i="5"/>
  <c r="AA28" i="5" s="1"/>
  <c r="O29" i="5"/>
  <c r="AA29" i="5" s="1"/>
  <c r="O30" i="5"/>
  <c r="AA30" i="5" s="1"/>
  <c r="O31" i="5"/>
  <c r="AA31" i="5" s="1"/>
  <c r="O32" i="5"/>
  <c r="AA32" i="5" s="1"/>
  <c r="O33" i="5"/>
  <c r="AA33" i="5" s="1"/>
  <c r="O34" i="5"/>
  <c r="AA34" i="5" s="1"/>
  <c r="AC34" i="5" s="1"/>
  <c r="O35" i="5"/>
  <c r="AA35" i="5" s="1"/>
  <c r="O36" i="5"/>
  <c r="AA36" i="5" s="1"/>
  <c r="S3" i="5"/>
  <c r="AB3" i="5" s="1"/>
  <c r="S4" i="5"/>
  <c r="AB4" i="5" s="1"/>
  <c r="S5" i="5"/>
  <c r="AB5" i="5" s="1"/>
  <c r="S6" i="5"/>
  <c r="AB6" i="5" s="1"/>
  <c r="S7" i="5"/>
  <c r="AB7" i="5" s="1"/>
  <c r="S8" i="5"/>
  <c r="AB8" i="5" s="1"/>
  <c r="S9" i="5"/>
  <c r="AB9" i="5" s="1"/>
  <c r="S10" i="5"/>
  <c r="AB10" i="5" s="1"/>
  <c r="S11" i="5"/>
  <c r="AB11" i="5" s="1"/>
  <c r="S12" i="5"/>
  <c r="AB12" i="5" s="1"/>
  <c r="S13" i="5"/>
  <c r="AB13" i="5" s="1"/>
  <c r="S14" i="5"/>
  <c r="AB14" i="5" s="1"/>
  <c r="S15" i="5"/>
  <c r="AB15" i="5" s="1"/>
  <c r="S16" i="5"/>
  <c r="AB16" i="5" s="1"/>
  <c r="S17" i="5"/>
  <c r="AB17" i="5" s="1"/>
  <c r="S18" i="5"/>
  <c r="AB18" i="5" s="1"/>
  <c r="S19" i="5"/>
  <c r="AB19" i="5" s="1"/>
  <c r="S20" i="5"/>
  <c r="AB20" i="5" s="1"/>
  <c r="S21" i="5"/>
  <c r="AB21" i="5" s="1"/>
  <c r="S22" i="5"/>
  <c r="AB22" i="5" s="1"/>
  <c r="S23" i="5"/>
  <c r="AB23" i="5" s="1"/>
  <c r="S24" i="5"/>
  <c r="AB24" i="5" s="1"/>
  <c r="S25" i="5"/>
  <c r="AB25" i="5" s="1"/>
  <c r="S26" i="5"/>
  <c r="AB26" i="5" s="1"/>
  <c r="S27" i="5"/>
  <c r="AB27" i="5" s="1"/>
  <c r="S28" i="5"/>
  <c r="AB28" i="5" s="1"/>
  <c r="S29" i="5"/>
  <c r="AB29" i="5" s="1"/>
  <c r="S30" i="5"/>
  <c r="AB30" i="5" s="1"/>
  <c r="S31" i="5"/>
  <c r="AB31" i="5" s="1"/>
  <c r="S32" i="5"/>
  <c r="AB32" i="5" s="1"/>
  <c r="S33" i="5"/>
  <c r="AB33" i="5" s="1"/>
  <c r="S34" i="5"/>
  <c r="AB34" i="5" s="1"/>
  <c r="S35" i="5"/>
  <c r="AB35" i="5" s="1"/>
  <c r="S36" i="5"/>
  <c r="AB36" i="5" s="1"/>
  <c r="AA312" i="6"/>
  <c r="AA309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AA131" i="6"/>
  <c r="AB131" i="6"/>
  <c r="AA132" i="6"/>
  <c r="AB132" i="6"/>
  <c r="AA133" i="6"/>
  <c r="AB133" i="6"/>
  <c r="AA134" i="6"/>
  <c r="AB134" i="6"/>
  <c r="AA135" i="6"/>
  <c r="AB135" i="6"/>
  <c r="AA136" i="6"/>
  <c r="AB136" i="6"/>
  <c r="AA140" i="6"/>
  <c r="AB140" i="6"/>
  <c r="AA141" i="6"/>
  <c r="AB141" i="6"/>
  <c r="AA142" i="6"/>
  <c r="AB142" i="6"/>
  <c r="Z143" i="6"/>
  <c r="AA143" i="6"/>
  <c r="AB143" i="6"/>
  <c r="AA144" i="6"/>
  <c r="AB144" i="6"/>
  <c r="Z145" i="6"/>
  <c r="AA145" i="6"/>
  <c r="AB145" i="6"/>
  <c r="AA146" i="6"/>
  <c r="AB146" i="6"/>
  <c r="AA147" i="6"/>
  <c r="AB147" i="6"/>
  <c r="AA148" i="6"/>
  <c r="AB148" i="6"/>
  <c r="AA149" i="6"/>
  <c r="AB149" i="6"/>
  <c r="AA150" i="6"/>
  <c r="AB150" i="6"/>
  <c r="AA151" i="6"/>
  <c r="AB151" i="6"/>
  <c r="AA152" i="6"/>
  <c r="AB152" i="6"/>
  <c r="AA153" i="6"/>
  <c r="AB153" i="6"/>
  <c r="AA154" i="6"/>
  <c r="AB154" i="6"/>
  <c r="AA155" i="6"/>
  <c r="AB155" i="6"/>
  <c r="AA156" i="6"/>
  <c r="AB156" i="6"/>
  <c r="AA157" i="6"/>
  <c r="AB157" i="6"/>
  <c r="Z158" i="6"/>
  <c r="AA158" i="6"/>
  <c r="AB158" i="6"/>
  <c r="Z159" i="6"/>
  <c r="AA159" i="6"/>
  <c r="AB159" i="6"/>
  <c r="Z160" i="6"/>
  <c r="AA160" i="6"/>
  <c r="AB160" i="6"/>
  <c r="Z161" i="6"/>
  <c r="AA161" i="6"/>
  <c r="AB161" i="6"/>
  <c r="Z162" i="6"/>
  <c r="AA162" i="6"/>
  <c r="AB162" i="6"/>
  <c r="Z163" i="6"/>
  <c r="AA163" i="6"/>
  <c r="AB163" i="6"/>
  <c r="Z164" i="6"/>
  <c r="AA164" i="6"/>
  <c r="AB164" i="6"/>
  <c r="Z165" i="6"/>
  <c r="AA165" i="6"/>
  <c r="AB165" i="6"/>
  <c r="Z166" i="6"/>
  <c r="AA166" i="6"/>
  <c r="AB166" i="6"/>
  <c r="Z167" i="6"/>
  <c r="AA167" i="6"/>
  <c r="AB167" i="6"/>
  <c r="Z168" i="6"/>
  <c r="AA168" i="6"/>
  <c r="AB168" i="6"/>
  <c r="Z169" i="6"/>
  <c r="AA169" i="6"/>
  <c r="AB169" i="6"/>
  <c r="AA170" i="6"/>
  <c r="AB170" i="6"/>
  <c r="AA171" i="6"/>
  <c r="AB171" i="6"/>
  <c r="AA172" i="6"/>
  <c r="AB172" i="6"/>
  <c r="AA173" i="6"/>
  <c r="AB173" i="6"/>
  <c r="AA174" i="6"/>
  <c r="AB174" i="6"/>
  <c r="AA175" i="6"/>
  <c r="AB175" i="6"/>
  <c r="Z176" i="6"/>
  <c r="AA176" i="6"/>
  <c r="AB176" i="6"/>
  <c r="Z177" i="6"/>
  <c r="AA177" i="6"/>
  <c r="AB177" i="6"/>
  <c r="Z178" i="6"/>
  <c r="AA178" i="6"/>
  <c r="AB178" i="6"/>
  <c r="AA179" i="6"/>
  <c r="AB179" i="6"/>
  <c r="AA180" i="6"/>
  <c r="AB180" i="6"/>
  <c r="AA181" i="6"/>
  <c r="AB181" i="6"/>
  <c r="Z182" i="6"/>
  <c r="AA182" i="6"/>
  <c r="AB182" i="6"/>
  <c r="Z183" i="6"/>
  <c r="AA183" i="6"/>
  <c r="AB183" i="6"/>
  <c r="Z184" i="6"/>
  <c r="AA184" i="6"/>
  <c r="AB184" i="6"/>
  <c r="Z185" i="6"/>
  <c r="AA185" i="6"/>
  <c r="AB185" i="6"/>
  <c r="Z186" i="6"/>
  <c r="AA186" i="6"/>
  <c r="AB186" i="6"/>
  <c r="Z187" i="6"/>
  <c r="AA187" i="6"/>
  <c r="AB187" i="6"/>
  <c r="Z188" i="6"/>
  <c r="AA188" i="6"/>
  <c r="AB188" i="6"/>
  <c r="Z189" i="6"/>
  <c r="AA189" i="6"/>
  <c r="AB189" i="6"/>
  <c r="Z190" i="6"/>
  <c r="AA190" i="6"/>
  <c r="AB190" i="6"/>
  <c r="Z191" i="6"/>
  <c r="AA191" i="6"/>
  <c r="AB191" i="6"/>
  <c r="Z192" i="6"/>
  <c r="AA192" i="6"/>
  <c r="AB192" i="6"/>
  <c r="Z193" i="6"/>
  <c r="AA193" i="6"/>
  <c r="AB193" i="6"/>
  <c r="AA194" i="6"/>
  <c r="AB194" i="6"/>
  <c r="AA195" i="6"/>
  <c r="AB195" i="6"/>
  <c r="AA196" i="6"/>
  <c r="AB196" i="6"/>
  <c r="Z197" i="6"/>
  <c r="AA197" i="6"/>
  <c r="AB197" i="6"/>
  <c r="Z198" i="6"/>
  <c r="AA198" i="6"/>
  <c r="AB198" i="6"/>
  <c r="Z199" i="6"/>
  <c r="AA199" i="6"/>
  <c r="AB199" i="6"/>
  <c r="Z200" i="6"/>
  <c r="AA200" i="6"/>
  <c r="AB200" i="6"/>
  <c r="Z201" i="6"/>
  <c r="AA201" i="6"/>
  <c r="AB201" i="6"/>
  <c r="Z202" i="6"/>
  <c r="AA202" i="6"/>
  <c r="AB202" i="6"/>
  <c r="Z203" i="6"/>
  <c r="AA203" i="6"/>
  <c r="AB203" i="6"/>
  <c r="Z204" i="6"/>
  <c r="AA204" i="6"/>
  <c r="AB204" i="6"/>
  <c r="Z205" i="6"/>
  <c r="AA205" i="6"/>
  <c r="AB205" i="6"/>
  <c r="Z206" i="6"/>
  <c r="Z207" i="6"/>
  <c r="Z209" i="6"/>
  <c r="AA209" i="6"/>
  <c r="AB209" i="6"/>
  <c r="Z210" i="6"/>
  <c r="AA210" i="6"/>
  <c r="AB210" i="6"/>
  <c r="Z211" i="6"/>
  <c r="AA211" i="6"/>
  <c r="AB211" i="6"/>
  <c r="AA212" i="6"/>
  <c r="AB212" i="6"/>
  <c r="AA213" i="6"/>
  <c r="AB213" i="6"/>
  <c r="AA214" i="6"/>
  <c r="AB214" i="6"/>
  <c r="AA215" i="6"/>
  <c r="AB215" i="6"/>
  <c r="AA216" i="6"/>
  <c r="AB216" i="6"/>
  <c r="AA217" i="6"/>
  <c r="AB217" i="6"/>
  <c r="AA218" i="6"/>
  <c r="AB218" i="6"/>
  <c r="AA219" i="6"/>
  <c r="AB219" i="6"/>
  <c r="AA220" i="6"/>
  <c r="AB220" i="6"/>
  <c r="Z221" i="6"/>
  <c r="AA221" i="6"/>
  <c r="AB221" i="6"/>
  <c r="Z222" i="6"/>
  <c r="AA222" i="6"/>
  <c r="AB222" i="6"/>
  <c r="Z223" i="6"/>
  <c r="AA223" i="6"/>
  <c r="AB223" i="6"/>
  <c r="Z224" i="6"/>
  <c r="AA224" i="6"/>
  <c r="AB224" i="6"/>
  <c r="Z225" i="6"/>
  <c r="AA225" i="6"/>
  <c r="AB225" i="6"/>
  <c r="Z226" i="6"/>
  <c r="AA226" i="6"/>
  <c r="AB226" i="6"/>
  <c r="Z227" i="6"/>
  <c r="AA227" i="6"/>
  <c r="AB227" i="6"/>
  <c r="Z228" i="6"/>
  <c r="AA228" i="6"/>
  <c r="AB228" i="6"/>
  <c r="Z229" i="6"/>
  <c r="AA229" i="6"/>
  <c r="AB229" i="6"/>
  <c r="Z230" i="6"/>
  <c r="AA230" i="6"/>
  <c r="AB230" i="6"/>
  <c r="Z231" i="6"/>
  <c r="AA231" i="6"/>
  <c r="AB231" i="6"/>
  <c r="Z232" i="6"/>
  <c r="AA232" i="6"/>
  <c r="AB232" i="6"/>
  <c r="Z233" i="6"/>
  <c r="AA233" i="6"/>
  <c r="AB233" i="6"/>
  <c r="Z234" i="6"/>
  <c r="AA234" i="6"/>
  <c r="AB234" i="6"/>
  <c r="AC234" i="6" s="1"/>
  <c r="AB235" i="6"/>
  <c r="AA236" i="6"/>
  <c r="AB236" i="6"/>
  <c r="AA237" i="6"/>
  <c r="AB237" i="6"/>
  <c r="AA238" i="6"/>
  <c r="AB238" i="6"/>
  <c r="AA239" i="6"/>
  <c r="AB239" i="6"/>
  <c r="AA240" i="6"/>
  <c r="AB240" i="6"/>
  <c r="Z241" i="6"/>
  <c r="AA241" i="6"/>
  <c r="AB241" i="6"/>
  <c r="Z242" i="6"/>
  <c r="AA242" i="6"/>
  <c r="AB242" i="6"/>
  <c r="Z243" i="6"/>
  <c r="AA243" i="6"/>
  <c r="AB243" i="6"/>
  <c r="Z244" i="6"/>
  <c r="AA244" i="6"/>
  <c r="AB244" i="6"/>
  <c r="Z245" i="6"/>
  <c r="AA245" i="6"/>
  <c r="AB245" i="6"/>
  <c r="Z246" i="6"/>
  <c r="AA246" i="6"/>
  <c r="AB246" i="6"/>
  <c r="Z247" i="6"/>
  <c r="AA247" i="6"/>
  <c r="AB247" i="6"/>
  <c r="Z248" i="6"/>
  <c r="AA248" i="6"/>
  <c r="AB248" i="6"/>
  <c r="Z249" i="6"/>
  <c r="AA249" i="6"/>
  <c r="AB249" i="6"/>
  <c r="Z250" i="6"/>
  <c r="AA250" i="6"/>
  <c r="AB250" i="6"/>
  <c r="Z251" i="6"/>
  <c r="AA251" i="6"/>
  <c r="AB251" i="6"/>
  <c r="Z252" i="6"/>
  <c r="AA252" i="6"/>
  <c r="AB252" i="6"/>
  <c r="AA253" i="6"/>
  <c r="AB253" i="6"/>
  <c r="AA254" i="6"/>
  <c r="AB254" i="6"/>
  <c r="AA255" i="6"/>
  <c r="AB255" i="6"/>
  <c r="AA256" i="6"/>
  <c r="AB256" i="6"/>
  <c r="AA257" i="6"/>
  <c r="AB257" i="6"/>
  <c r="AA258" i="6"/>
  <c r="AB258" i="6"/>
  <c r="AA259" i="6"/>
  <c r="AB259" i="6"/>
  <c r="AA260" i="6"/>
  <c r="AB260" i="6"/>
  <c r="AA261" i="6"/>
  <c r="AB261" i="6"/>
  <c r="AA262" i="6"/>
  <c r="AB262" i="6"/>
  <c r="AA263" i="6"/>
  <c r="AB263" i="6"/>
  <c r="AA264" i="6"/>
  <c r="AB264" i="6"/>
  <c r="Z265" i="6"/>
  <c r="AA265" i="6"/>
  <c r="AB265" i="6"/>
  <c r="Z266" i="6"/>
  <c r="AA266" i="6"/>
  <c r="AB266" i="6"/>
  <c r="Z267" i="6"/>
  <c r="AA267" i="6"/>
  <c r="AB267" i="6"/>
  <c r="Z268" i="6"/>
  <c r="AA268" i="6"/>
  <c r="AB268" i="6"/>
  <c r="Z269" i="6"/>
  <c r="AA269" i="6"/>
  <c r="AB269" i="6"/>
  <c r="Z270" i="6"/>
  <c r="AB270" i="6"/>
  <c r="Z271" i="6"/>
  <c r="AA271" i="6"/>
  <c r="AB271" i="6"/>
  <c r="Z272" i="6"/>
  <c r="AA272" i="6"/>
  <c r="AB272" i="6"/>
  <c r="AA277" i="6"/>
  <c r="AB277" i="6"/>
  <c r="AA278" i="6"/>
  <c r="AB278" i="6"/>
  <c r="AA279" i="6"/>
  <c r="AB279" i="6"/>
  <c r="AA280" i="6"/>
  <c r="AB280" i="6"/>
  <c r="AA281" i="6"/>
  <c r="AB281" i="6"/>
  <c r="AA282" i="6"/>
  <c r="AB282" i="6"/>
  <c r="AA283" i="6"/>
  <c r="AB283" i="6"/>
  <c r="AA284" i="6"/>
  <c r="AB284" i="6"/>
  <c r="AA285" i="6"/>
  <c r="AB285" i="6"/>
  <c r="AA286" i="6"/>
  <c r="AB286" i="6"/>
  <c r="AA287" i="6"/>
  <c r="AC287" i="6" s="1"/>
  <c r="AB287" i="6"/>
  <c r="AA288" i="6"/>
  <c r="AB288" i="6"/>
  <c r="Z289" i="6"/>
  <c r="AA289" i="6"/>
  <c r="AB289" i="6"/>
  <c r="Z290" i="6"/>
  <c r="AA290" i="6"/>
  <c r="AB290" i="6"/>
  <c r="Z291" i="6"/>
  <c r="AA291" i="6"/>
  <c r="AB291" i="6"/>
  <c r="Z292" i="6"/>
  <c r="AA292" i="6"/>
  <c r="AB292" i="6"/>
  <c r="Z293" i="6"/>
  <c r="AA293" i="6"/>
  <c r="AB293" i="6"/>
  <c r="Z294" i="6"/>
  <c r="AA294" i="6"/>
  <c r="AB294" i="6"/>
  <c r="Z295" i="6"/>
  <c r="AA295" i="6"/>
  <c r="AB295" i="6"/>
  <c r="Z296" i="6"/>
  <c r="AA296" i="6"/>
  <c r="AB296" i="6"/>
  <c r="Z297" i="6"/>
  <c r="AA297" i="6"/>
  <c r="AB297" i="6"/>
  <c r="Z298" i="6"/>
  <c r="AA298" i="6"/>
  <c r="AB298" i="6"/>
  <c r="Z299" i="6"/>
  <c r="AA299" i="6"/>
  <c r="AB299" i="6"/>
  <c r="Z300" i="6"/>
  <c r="AA300" i="6"/>
  <c r="AB300" i="6"/>
  <c r="Z301" i="6"/>
  <c r="AA301" i="6"/>
  <c r="AB301" i="6"/>
  <c r="Z302" i="6"/>
  <c r="AA302" i="6"/>
  <c r="AB302" i="6"/>
  <c r="Z303" i="6"/>
  <c r="AA303" i="6"/>
  <c r="AB303" i="6"/>
  <c r="Z304" i="6"/>
  <c r="AA304" i="6"/>
  <c r="AB304" i="6"/>
  <c r="Z305" i="6"/>
  <c r="AA305" i="6"/>
  <c r="AB305" i="6"/>
  <c r="AA306" i="6"/>
  <c r="AB306" i="6"/>
  <c r="Z307" i="6"/>
  <c r="AA307" i="6"/>
  <c r="AB307" i="6"/>
  <c r="Z308" i="6"/>
  <c r="AA308" i="6"/>
  <c r="AB308" i="6"/>
  <c r="Z309" i="6"/>
  <c r="AB309" i="6"/>
  <c r="Z310" i="6"/>
  <c r="AA310" i="6"/>
  <c r="AB310" i="6"/>
  <c r="Z311" i="6"/>
  <c r="AA311" i="6"/>
  <c r="AB311" i="6"/>
  <c r="Z312" i="6"/>
  <c r="AB312" i="6"/>
  <c r="S274" i="6"/>
  <c r="AB274" i="6" s="1"/>
  <c r="S275" i="6"/>
  <c r="AB275" i="6" s="1"/>
  <c r="S276" i="6"/>
  <c r="AB276" i="6" s="1"/>
  <c r="S273" i="6"/>
  <c r="AB273" i="6" s="1"/>
  <c r="S207" i="6"/>
  <c r="AB207" i="6" s="1"/>
  <c r="S208" i="6"/>
  <c r="AB208" i="6" s="1"/>
  <c r="S206" i="6"/>
  <c r="AB206" i="6" s="1"/>
  <c r="S138" i="6"/>
  <c r="AB138" i="6" s="1"/>
  <c r="S139" i="6"/>
  <c r="AB139" i="6" s="1"/>
  <c r="S137" i="6"/>
  <c r="AB137" i="6" s="1"/>
  <c r="S130" i="6"/>
  <c r="AB130" i="6" s="1"/>
  <c r="S3" i="6"/>
  <c r="AB3" i="6" s="1"/>
  <c r="S4" i="6"/>
  <c r="AB4" i="6" s="1"/>
  <c r="S5" i="6"/>
  <c r="AB5" i="6" s="1"/>
  <c r="S6" i="6"/>
  <c r="AB6" i="6" s="1"/>
  <c r="S7" i="6"/>
  <c r="AB7" i="6" s="1"/>
  <c r="S8" i="6"/>
  <c r="AB8" i="6" s="1"/>
  <c r="S9" i="6"/>
  <c r="AB9" i="6" s="1"/>
  <c r="S10" i="6"/>
  <c r="AB10" i="6" s="1"/>
  <c r="S11" i="6"/>
  <c r="AB11" i="6" s="1"/>
  <c r="S12" i="6"/>
  <c r="AB12" i="6" s="1"/>
  <c r="S13" i="6"/>
  <c r="AB13" i="6" s="1"/>
  <c r="S14" i="6"/>
  <c r="AB14" i="6" s="1"/>
  <c r="S15" i="6"/>
  <c r="AB15" i="6" s="1"/>
  <c r="S16" i="6"/>
  <c r="AB16" i="6" s="1"/>
  <c r="S17" i="6"/>
  <c r="AB17" i="6" s="1"/>
  <c r="S18" i="6"/>
  <c r="AB18" i="6" s="1"/>
  <c r="S19" i="6"/>
  <c r="AB19" i="6" s="1"/>
  <c r="S20" i="6"/>
  <c r="AB20" i="6" s="1"/>
  <c r="S21" i="6"/>
  <c r="AB21" i="6" s="1"/>
  <c r="S22" i="6"/>
  <c r="AB22" i="6" s="1"/>
  <c r="S23" i="6"/>
  <c r="AB23" i="6" s="1"/>
  <c r="S24" i="6"/>
  <c r="AB24" i="6" s="1"/>
  <c r="S25" i="6"/>
  <c r="AB25" i="6" s="1"/>
  <c r="S26" i="6"/>
  <c r="AB26" i="6" s="1"/>
  <c r="S27" i="6"/>
  <c r="AB27" i="6" s="1"/>
  <c r="S28" i="6"/>
  <c r="AB28" i="6" s="1"/>
  <c r="S29" i="6"/>
  <c r="AB29" i="6" s="1"/>
  <c r="S30" i="6"/>
  <c r="AB30" i="6" s="1"/>
  <c r="S31" i="6"/>
  <c r="AB31" i="6" s="1"/>
  <c r="S32" i="6"/>
  <c r="AB32" i="6" s="1"/>
  <c r="S33" i="6"/>
  <c r="AB33" i="6" s="1"/>
  <c r="S34" i="6"/>
  <c r="AB34" i="6" s="1"/>
  <c r="S35" i="6"/>
  <c r="AB35" i="6" s="1"/>
  <c r="S36" i="6"/>
  <c r="AB36" i="6" s="1"/>
  <c r="S37" i="6"/>
  <c r="AB37" i="6" s="1"/>
  <c r="S38" i="6"/>
  <c r="AB38" i="6" s="1"/>
  <c r="S39" i="6"/>
  <c r="AB39" i="6" s="1"/>
  <c r="S40" i="6"/>
  <c r="AB40" i="6" s="1"/>
  <c r="S41" i="6"/>
  <c r="AB41" i="6" s="1"/>
  <c r="S42" i="6"/>
  <c r="AB42" i="6" s="1"/>
  <c r="S43" i="6"/>
  <c r="AB43" i="6" s="1"/>
  <c r="S44" i="6"/>
  <c r="AB44" i="6" s="1"/>
  <c r="S45" i="6"/>
  <c r="AB45" i="6" s="1"/>
  <c r="S46" i="6"/>
  <c r="AB46" i="6" s="1"/>
  <c r="S47" i="6"/>
  <c r="AB47" i="6" s="1"/>
  <c r="S48" i="6"/>
  <c r="AB48" i="6" s="1"/>
  <c r="S49" i="6"/>
  <c r="AB49" i="6" s="1"/>
  <c r="S50" i="6"/>
  <c r="AB50" i="6" s="1"/>
  <c r="S51" i="6"/>
  <c r="AB51" i="6" s="1"/>
  <c r="S52" i="6"/>
  <c r="AB52" i="6" s="1"/>
  <c r="S53" i="6"/>
  <c r="AB53" i="6" s="1"/>
  <c r="S62" i="6"/>
  <c r="AB62" i="6" s="1"/>
  <c r="S63" i="6"/>
  <c r="AB63" i="6" s="1"/>
  <c r="S64" i="6"/>
  <c r="AB64" i="6" s="1"/>
  <c r="S65" i="6"/>
  <c r="AB65" i="6" s="1"/>
  <c r="S66" i="6"/>
  <c r="AB66" i="6" s="1"/>
  <c r="S67" i="6"/>
  <c r="AB67" i="6" s="1"/>
  <c r="S68" i="6"/>
  <c r="AB68" i="6" s="1"/>
  <c r="S69" i="6"/>
  <c r="AB69" i="6" s="1"/>
  <c r="S70" i="6"/>
  <c r="AB70" i="6" s="1"/>
  <c r="S71" i="6"/>
  <c r="AB71" i="6" s="1"/>
  <c r="S72" i="6"/>
  <c r="AB72" i="6" s="1"/>
  <c r="S73" i="6"/>
  <c r="AB73" i="6" s="1"/>
  <c r="S74" i="6"/>
  <c r="AB74" i="6" s="1"/>
  <c r="S75" i="6"/>
  <c r="AB75" i="6" s="1"/>
  <c r="S76" i="6"/>
  <c r="AB76" i="6" s="1"/>
  <c r="S77" i="6"/>
  <c r="AB77" i="6" s="1"/>
  <c r="S78" i="6"/>
  <c r="AB78" i="6" s="1"/>
  <c r="S79" i="6"/>
  <c r="AB79" i="6" s="1"/>
  <c r="S80" i="6"/>
  <c r="AB80" i="6" s="1"/>
  <c r="S81" i="6"/>
  <c r="AB81" i="6" s="1"/>
  <c r="S82" i="6"/>
  <c r="AB82" i="6" s="1"/>
  <c r="S83" i="6"/>
  <c r="AB83" i="6" s="1"/>
  <c r="S84" i="6"/>
  <c r="AB84" i="6" s="1"/>
  <c r="S85" i="6"/>
  <c r="AB85" i="6" s="1"/>
  <c r="S86" i="6"/>
  <c r="AB86" i="6" s="1"/>
  <c r="S87" i="6"/>
  <c r="AB87" i="6" s="1"/>
  <c r="S88" i="6"/>
  <c r="AB88" i="6" s="1"/>
  <c r="S89" i="6"/>
  <c r="AB89" i="6" s="1"/>
  <c r="S90" i="6"/>
  <c r="AB90" i="6" s="1"/>
  <c r="S91" i="6"/>
  <c r="AB91" i="6" s="1"/>
  <c r="S92" i="6"/>
  <c r="AB92" i="6" s="1"/>
  <c r="S93" i="6"/>
  <c r="AB93" i="6" s="1"/>
  <c r="S94" i="6"/>
  <c r="AB94" i="6" s="1"/>
  <c r="S95" i="6"/>
  <c r="AB95" i="6" s="1"/>
  <c r="S96" i="6"/>
  <c r="AB96" i="6" s="1"/>
  <c r="S97" i="6"/>
  <c r="AB97" i="6" s="1"/>
  <c r="S98" i="6"/>
  <c r="AB98" i="6" s="1"/>
  <c r="S99" i="6"/>
  <c r="AB99" i="6" s="1"/>
  <c r="S100" i="6"/>
  <c r="AB100" i="6" s="1"/>
  <c r="S101" i="6"/>
  <c r="AB101" i="6" s="1"/>
  <c r="S102" i="6"/>
  <c r="AB102" i="6" s="1"/>
  <c r="S103" i="6"/>
  <c r="AB103" i="6" s="1"/>
  <c r="S104" i="6"/>
  <c r="AB104" i="6" s="1"/>
  <c r="S105" i="6"/>
  <c r="AB105" i="6" s="1"/>
  <c r="S106" i="6"/>
  <c r="AB106" i="6" s="1"/>
  <c r="S107" i="6"/>
  <c r="AB107" i="6" s="1"/>
  <c r="S108" i="6"/>
  <c r="AB108" i="6" s="1"/>
  <c r="S109" i="6"/>
  <c r="AB109" i="6" s="1"/>
  <c r="S110" i="6"/>
  <c r="AB110" i="6" s="1"/>
  <c r="S111" i="6"/>
  <c r="AB111" i="6" s="1"/>
  <c r="S112" i="6"/>
  <c r="AB112" i="6" s="1"/>
  <c r="S113" i="6"/>
  <c r="AB113" i="6" s="1"/>
  <c r="S114" i="6"/>
  <c r="AB114" i="6" s="1"/>
  <c r="S115" i="6"/>
  <c r="AB115" i="6" s="1"/>
  <c r="S116" i="6"/>
  <c r="AB116" i="6" s="1"/>
  <c r="S117" i="6"/>
  <c r="AB117" i="6" s="1"/>
  <c r="S118" i="6"/>
  <c r="AB118" i="6" s="1"/>
  <c r="S119" i="6"/>
  <c r="AB119" i="6" s="1"/>
  <c r="S120" i="6"/>
  <c r="AB120" i="6" s="1"/>
  <c r="S121" i="6"/>
  <c r="AB121" i="6" s="1"/>
  <c r="S122" i="6"/>
  <c r="AB122" i="6" s="1"/>
  <c r="S123" i="6"/>
  <c r="AB123" i="6" s="1"/>
  <c r="S124" i="6"/>
  <c r="AB124" i="6" s="1"/>
  <c r="S125" i="6"/>
  <c r="AB125" i="6" s="1"/>
  <c r="S126" i="6"/>
  <c r="AB126" i="6" s="1"/>
  <c r="S127" i="6"/>
  <c r="AB127" i="6" s="1"/>
  <c r="S128" i="6"/>
  <c r="AB128" i="6" s="1"/>
  <c r="S129" i="6"/>
  <c r="AB129" i="6" s="1"/>
  <c r="O274" i="6"/>
  <c r="AA274" i="6" s="1"/>
  <c r="O275" i="6"/>
  <c r="AA275" i="6" s="1"/>
  <c r="O276" i="6"/>
  <c r="AA276" i="6" s="1"/>
  <c r="O273" i="6"/>
  <c r="AA273" i="6" s="1"/>
  <c r="O207" i="6"/>
  <c r="AA207" i="6" s="1"/>
  <c r="O208" i="6"/>
  <c r="AA208" i="6" s="1"/>
  <c r="O206" i="6"/>
  <c r="AA206" i="6" s="1"/>
  <c r="O139" i="6"/>
  <c r="AA139" i="6" s="1"/>
  <c r="O138" i="6"/>
  <c r="AA138" i="6" s="1"/>
  <c r="O137" i="6"/>
  <c r="AA137" i="6" s="1"/>
  <c r="O130" i="6"/>
  <c r="AA130" i="6" s="1"/>
  <c r="O86" i="6"/>
  <c r="AA86" i="6" s="1"/>
  <c r="O87" i="6"/>
  <c r="AA87" i="6" s="1"/>
  <c r="O88" i="6"/>
  <c r="AA88" i="6" s="1"/>
  <c r="O89" i="6"/>
  <c r="AA89" i="6" s="1"/>
  <c r="O90" i="6"/>
  <c r="AA90" i="6" s="1"/>
  <c r="O91" i="6"/>
  <c r="AA91" i="6" s="1"/>
  <c r="O92" i="6"/>
  <c r="AA92" i="6" s="1"/>
  <c r="O93" i="6"/>
  <c r="AA93" i="6" s="1"/>
  <c r="O94" i="6"/>
  <c r="AA94" i="6" s="1"/>
  <c r="O95" i="6"/>
  <c r="AA95" i="6" s="1"/>
  <c r="O96" i="6"/>
  <c r="AA96" i="6" s="1"/>
  <c r="O97" i="6"/>
  <c r="AA97" i="6" s="1"/>
  <c r="O98" i="6"/>
  <c r="AA98" i="6" s="1"/>
  <c r="O99" i="6"/>
  <c r="AA99" i="6" s="1"/>
  <c r="O100" i="6"/>
  <c r="AA100" i="6" s="1"/>
  <c r="O101" i="6"/>
  <c r="AA101" i="6" s="1"/>
  <c r="O102" i="6"/>
  <c r="AA102" i="6" s="1"/>
  <c r="O103" i="6"/>
  <c r="AA103" i="6" s="1"/>
  <c r="O104" i="6"/>
  <c r="AA104" i="6" s="1"/>
  <c r="O105" i="6"/>
  <c r="AA105" i="6" s="1"/>
  <c r="O106" i="6"/>
  <c r="AA106" i="6" s="1"/>
  <c r="O107" i="6"/>
  <c r="AA107" i="6" s="1"/>
  <c r="O108" i="6"/>
  <c r="AA108" i="6" s="1"/>
  <c r="O109" i="6"/>
  <c r="AA109" i="6" s="1"/>
  <c r="O110" i="6"/>
  <c r="AA110" i="6" s="1"/>
  <c r="O111" i="6"/>
  <c r="AA111" i="6" s="1"/>
  <c r="O112" i="6"/>
  <c r="AA112" i="6" s="1"/>
  <c r="O113" i="6"/>
  <c r="AA113" i="6" s="1"/>
  <c r="O114" i="6"/>
  <c r="AA114" i="6" s="1"/>
  <c r="O115" i="6"/>
  <c r="AA115" i="6" s="1"/>
  <c r="O116" i="6"/>
  <c r="AA116" i="6" s="1"/>
  <c r="O117" i="6"/>
  <c r="AA117" i="6" s="1"/>
  <c r="O118" i="6"/>
  <c r="AA118" i="6" s="1"/>
  <c r="O119" i="6"/>
  <c r="AA119" i="6" s="1"/>
  <c r="O120" i="6"/>
  <c r="AA120" i="6" s="1"/>
  <c r="O121" i="6"/>
  <c r="AA121" i="6" s="1"/>
  <c r="O122" i="6"/>
  <c r="AA122" i="6" s="1"/>
  <c r="O123" i="6"/>
  <c r="AA123" i="6" s="1"/>
  <c r="O124" i="6"/>
  <c r="AA124" i="6" s="1"/>
  <c r="O125" i="6"/>
  <c r="AA125" i="6" s="1"/>
  <c r="O126" i="6"/>
  <c r="AA126" i="6" s="1"/>
  <c r="O127" i="6"/>
  <c r="AA127" i="6" s="1"/>
  <c r="O128" i="6"/>
  <c r="AA128" i="6" s="1"/>
  <c r="O129" i="6"/>
  <c r="AA129" i="6" s="1"/>
  <c r="O65" i="6"/>
  <c r="AA65" i="6" s="1"/>
  <c r="O66" i="6"/>
  <c r="AA66" i="6" s="1"/>
  <c r="O67" i="6"/>
  <c r="AA67" i="6" s="1"/>
  <c r="O68" i="6"/>
  <c r="AA68" i="6" s="1"/>
  <c r="O69" i="6"/>
  <c r="AA69" i="6" s="1"/>
  <c r="O70" i="6"/>
  <c r="AA70" i="6" s="1"/>
  <c r="O71" i="6"/>
  <c r="AA71" i="6" s="1"/>
  <c r="AA72" i="6"/>
  <c r="O73" i="6"/>
  <c r="AA73" i="6" s="1"/>
  <c r="O74" i="6"/>
  <c r="AA74" i="6" s="1"/>
  <c r="O75" i="6"/>
  <c r="AA75" i="6" s="1"/>
  <c r="O76" i="6"/>
  <c r="AA76" i="6" s="1"/>
  <c r="O77" i="6"/>
  <c r="AA77" i="6" s="1"/>
  <c r="O78" i="6"/>
  <c r="AA78" i="6" s="1"/>
  <c r="O79" i="6"/>
  <c r="AA79" i="6" s="1"/>
  <c r="O80" i="6"/>
  <c r="AA80" i="6" s="1"/>
  <c r="O81" i="6"/>
  <c r="AA81" i="6" s="1"/>
  <c r="O82" i="6"/>
  <c r="AA82" i="6" s="1"/>
  <c r="O83" i="6"/>
  <c r="AA83" i="6" s="1"/>
  <c r="O84" i="6"/>
  <c r="AA84" i="6" s="1"/>
  <c r="O85" i="6"/>
  <c r="AA85" i="6" s="1"/>
  <c r="O31" i="6"/>
  <c r="AA31" i="6" s="1"/>
  <c r="O32" i="6"/>
  <c r="AA32" i="6" s="1"/>
  <c r="O33" i="6"/>
  <c r="AA33" i="6" s="1"/>
  <c r="O34" i="6"/>
  <c r="AA34" i="6" s="1"/>
  <c r="O35" i="6"/>
  <c r="AA35" i="6" s="1"/>
  <c r="O36" i="6"/>
  <c r="AA36" i="6" s="1"/>
  <c r="O37" i="6"/>
  <c r="AA37" i="6" s="1"/>
  <c r="O38" i="6"/>
  <c r="AA38" i="6" s="1"/>
  <c r="O39" i="6"/>
  <c r="AA39" i="6" s="1"/>
  <c r="O40" i="6"/>
  <c r="AA40" i="6" s="1"/>
  <c r="O41" i="6"/>
  <c r="AA41" i="6" s="1"/>
  <c r="O42" i="6"/>
  <c r="AA42" i="6" s="1"/>
  <c r="O43" i="6"/>
  <c r="AA43" i="6" s="1"/>
  <c r="O44" i="6"/>
  <c r="AA44" i="6" s="1"/>
  <c r="O45" i="6"/>
  <c r="AA45" i="6" s="1"/>
  <c r="O46" i="6"/>
  <c r="AA46" i="6" s="1"/>
  <c r="O47" i="6"/>
  <c r="AA47" i="6" s="1"/>
  <c r="O48" i="6"/>
  <c r="AA48" i="6" s="1"/>
  <c r="O49" i="6"/>
  <c r="AA49" i="6" s="1"/>
  <c r="O50" i="6"/>
  <c r="AA50" i="6" s="1"/>
  <c r="O51" i="6"/>
  <c r="AA51" i="6" s="1"/>
  <c r="O52" i="6"/>
  <c r="AA52" i="6" s="1"/>
  <c r="O53" i="6"/>
  <c r="AA53" i="6" s="1"/>
  <c r="O55" i="6"/>
  <c r="AA55" i="6" s="1"/>
  <c r="O56" i="6"/>
  <c r="AA56" i="6" s="1"/>
  <c r="O57" i="6"/>
  <c r="AA57" i="6" s="1"/>
  <c r="O58" i="6"/>
  <c r="AA58" i="6" s="1"/>
  <c r="O59" i="6"/>
  <c r="AA59" i="6" s="1"/>
  <c r="O60" i="6"/>
  <c r="AA60" i="6" s="1"/>
  <c r="O61" i="6"/>
  <c r="AA61" i="6" s="1"/>
  <c r="O62" i="6"/>
  <c r="AA62" i="6" s="1"/>
  <c r="O63" i="6"/>
  <c r="AA63" i="6" s="1"/>
  <c r="O64" i="6"/>
  <c r="AA64" i="6" s="1"/>
  <c r="O3" i="6"/>
  <c r="AA3" i="6" s="1"/>
  <c r="O4" i="6"/>
  <c r="AA4" i="6" s="1"/>
  <c r="O5" i="6"/>
  <c r="AA5" i="6" s="1"/>
  <c r="O6" i="6"/>
  <c r="AA6" i="6" s="1"/>
  <c r="O7" i="6"/>
  <c r="AA7" i="6" s="1"/>
  <c r="O8" i="6"/>
  <c r="AA8" i="6" s="1"/>
  <c r="O9" i="6"/>
  <c r="AA9" i="6" s="1"/>
  <c r="O10" i="6"/>
  <c r="AA10" i="6" s="1"/>
  <c r="O11" i="6"/>
  <c r="AA11" i="6" s="1"/>
  <c r="O12" i="6"/>
  <c r="AA12" i="6" s="1"/>
  <c r="O13" i="6"/>
  <c r="AA13" i="6" s="1"/>
  <c r="O14" i="6"/>
  <c r="AA14" i="6" s="1"/>
  <c r="O15" i="6"/>
  <c r="AA15" i="6" s="1"/>
  <c r="O16" i="6"/>
  <c r="AA16" i="6" s="1"/>
  <c r="O17" i="6"/>
  <c r="AA17" i="6" s="1"/>
  <c r="O18" i="6"/>
  <c r="AA18" i="6" s="1"/>
  <c r="O19" i="6"/>
  <c r="AA19" i="6" s="1"/>
  <c r="O20" i="6"/>
  <c r="AA20" i="6" s="1"/>
  <c r="O21" i="6"/>
  <c r="AA21" i="6" s="1"/>
  <c r="O22" i="6"/>
  <c r="AA22" i="6" s="1"/>
  <c r="O23" i="6"/>
  <c r="AA23" i="6" s="1"/>
  <c r="O24" i="6"/>
  <c r="AA24" i="6" s="1"/>
  <c r="O25" i="6"/>
  <c r="AA25" i="6" s="1"/>
  <c r="O26" i="6"/>
  <c r="AA26" i="6" s="1"/>
  <c r="O27" i="6"/>
  <c r="AA27" i="6" s="1"/>
  <c r="O28" i="6"/>
  <c r="AA28" i="6" s="1"/>
  <c r="O29" i="6"/>
  <c r="AA29" i="6" s="1"/>
  <c r="O30" i="6"/>
  <c r="AA30" i="6" s="1"/>
  <c r="S2" i="6"/>
  <c r="AB2" i="6" s="1"/>
  <c r="S2" i="5"/>
  <c r="AB2" i="5" s="1"/>
  <c r="U2" i="8"/>
  <c r="AD2" i="8" s="1"/>
  <c r="S2" i="4"/>
  <c r="AB2" i="4" s="1"/>
  <c r="S2" i="3"/>
  <c r="AB2" i="3" s="1"/>
  <c r="S2" i="2"/>
  <c r="AB2" i="2" s="1"/>
  <c r="O2" i="1"/>
  <c r="AA2" i="1" s="1"/>
  <c r="O2" i="6"/>
  <c r="AA2" i="6" s="1"/>
  <c r="O2" i="5"/>
  <c r="AA2" i="5" s="1"/>
  <c r="P2" i="8"/>
  <c r="AC2" i="8" s="1"/>
  <c r="O2" i="4"/>
  <c r="AA2" i="4" s="1"/>
  <c r="O2" i="3"/>
  <c r="AA2" i="3"/>
  <c r="Z2" i="6"/>
  <c r="Z2" i="5"/>
  <c r="Z2" i="3"/>
  <c r="Z2" i="4"/>
  <c r="Z2" i="2"/>
  <c r="O51" i="2"/>
  <c r="AA51" i="2" s="1"/>
  <c r="O67" i="2"/>
  <c r="AA67" i="2" s="1"/>
  <c r="O36" i="2"/>
  <c r="AA36" i="2" s="1"/>
  <c r="O37" i="2"/>
  <c r="AA37" i="2" s="1"/>
  <c r="O38" i="2"/>
  <c r="AA38" i="2" s="1"/>
  <c r="O39" i="2"/>
  <c r="AA39" i="2" s="1"/>
  <c r="O40" i="2"/>
  <c r="AA40" i="2" s="1"/>
  <c r="O41" i="2"/>
  <c r="AA41" i="2" s="1"/>
  <c r="O42" i="2"/>
  <c r="AA42" i="2" s="1"/>
  <c r="O43" i="2"/>
  <c r="AA43" i="2" s="1"/>
  <c r="O44" i="2"/>
  <c r="AA44" i="2" s="1"/>
  <c r="O45" i="2"/>
  <c r="AA45" i="2" s="1"/>
  <c r="O46" i="2"/>
  <c r="AA46" i="2" s="1"/>
  <c r="O47" i="2"/>
  <c r="AA47" i="2" s="1"/>
  <c r="O48" i="2"/>
  <c r="AA48" i="2" s="1"/>
  <c r="O49" i="2"/>
  <c r="AA49" i="2" s="1"/>
  <c r="O50" i="2"/>
  <c r="AA50" i="2" s="1"/>
  <c r="O22" i="2"/>
  <c r="AA22" i="2" s="1"/>
  <c r="O35" i="2"/>
  <c r="AA35" i="2" s="1"/>
  <c r="O3" i="2"/>
  <c r="AA3" i="2" s="1"/>
  <c r="O4" i="2"/>
  <c r="AA4" i="2" s="1"/>
  <c r="O5" i="2"/>
  <c r="AA5" i="2" s="1"/>
  <c r="O6" i="2"/>
  <c r="AA6" i="2" s="1"/>
  <c r="O7" i="2"/>
  <c r="AA7" i="2" s="1"/>
  <c r="O8" i="2"/>
  <c r="AA8" i="2" s="1"/>
  <c r="O9" i="2"/>
  <c r="AA9" i="2" s="1"/>
  <c r="O10" i="2"/>
  <c r="AA10" i="2" s="1"/>
  <c r="O11" i="2"/>
  <c r="AA11" i="2" s="1"/>
  <c r="O12" i="2"/>
  <c r="AA12" i="2" s="1"/>
  <c r="AC12" i="2" s="1"/>
  <c r="O13" i="2"/>
  <c r="AA13" i="2" s="1"/>
  <c r="O14" i="2"/>
  <c r="AA14" i="2" s="1"/>
  <c r="O15" i="2"/>
  <c r="AA15" i="2" s="1"/>
  <c r="O16" i="2"/>
  <c r="AA16" i="2" s="1"/>
  <c r="O17" i="2"/>
  <c r="AA17" i="2" s="1"/>
  <c r="O18" i="2"/>
  <c r="AA18" i="2" s="1"/>
  <c r="O19" i="2"/>
  <c r="AA19" i="2" s="1"/>
  <c r="O20" i="2"/>
  <c r="AA20" i="2" s="1"/>
  <c r="O21" i="2"/>
  <c r="AA21" i="2" s="1"/>
  <c r="O2" i="2"/>
  <c r="AA2" i="2" s="1"/>
  <c r="O3" i="1"/>
  <c r="AA3" i="1" s="1"/>
  <c r="Z6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4" i="1"/>
  <c r="Z65" i="1"/>
  <c r="Z66" i="1"/>
  <c r="Z68" i="1"/>
  <c r="Z69" i="1"/>
  <c r="S3" i="1"/>
  <c r="AB3" i="1" s="1"/>
  <c r="S4" i="1"/>
  <c r="AB4" i="1" s="1"/>
  <c r="S5" i="1"/>
  <c r="AB5" i="1" s="1"/>
  <c r="S6" i="1"/>
  <c r="AB6" i="1" s="1"/>
  <c r="S7" i="1"/>
  <c r="AB7" i="1" s="1"/>
  <c r="S8" i="1"/>
  <c r="AB8" i="1" s="1"/>
  <c r="S9" i="1"/>
  <c r="AB9" i="1" s="1"/>
  <c r="S10" i="1"/>
  <c r="AB10" i="1" s="1"/>
  <c r="S11" i="1"/>
  <c r="AB11" i="1" s="1"/>
  <c r="S12" i="1"/>
  <c r="AB12" i="1" s="1"/>
  <c r="S13" i="1"/>
  <c r="AB13" i="1" s="1"/>
  <c r="S14" i="1"/>
  <c r="AB14" i="1" s="1"/>
  <c r="S15" i="1"/>
  <c r="AB15" i="1" s="1"/>
  <c r="S16" i="1"/>
  <c r="AB16" i="1" s="1"/>
  <c r="S17" i="1"/>
  <c r="AB17" i="1" s="1"/>
  <c r="S18" i="1"/>
  <c r="AB18" i="1" s="1"/>
  <c r="S19" i="1"/>
  <c r="AB19" i="1" s="1"/>
  <c r="S20" i="1"/>
  <c r="AB20" i="1" s="1"/>
  <c r="S21" i="1"/>
  <c r="AB21" i="1" s="1"/>
  <c r="S22" i="1"/>
  <c r="AB22" i="1" s="1"/>
  <c r="S23" i="1"/>
  <c r="AB23" i="1" s="1"/>
  <c r="S24" i="1"/>
  <c r="AB24" i="1" s="1"/>
  <c r="S25" i="1"/>
  <c r="AB25" i="1" s="1"/>
  <c r="S26" i="1"/>
  <c r="AB26" i="1" s="1"/>
  <c r="S27" i="1"/>
  <c r="AB27" i="1" s="1"/>
  <c r="S28" i="1"/>
  <c r="AB28" i="1" s="1"/>
  <c r="S29" i="1"/>
  <c r="AB29" i="1" s="1"/>
  <c r="S30" i="1"/>
  <c r="AB30" i="1" s="1"/>
  <c r="S31" i="1"/>
  <c r="AB31" i="1" s="1"/>
  <c r="S32" i="1"/>
  <c r="AB32" i="1" s="1"/>
  <c r="S33" i="1"/>
  <c r="AB33" i="1" s="1"/>
  <c r="S34" i="1"/>
  <c r="AB34" i="1" s="1"/>
  <c r="S35" i="1"/>
  <c r="AB35" i="1" s="1"/>
  <c r="S36" i="1"/>
  <c r="AB36" i="1" s="1"/>
  <c r="S37" i="1"/>
  <c r="AB37" i="1" s="1"/>
  <c r="S38" i="1"/>
  <c r="AB38" i="1" s="1"/>
  <c r="S39" i="1"/>
  <c r="AB39" i="1" s="1"/>
  <c r="S40" i="1"/>
  <c r="AB40" i="1" s="1"/>
  <c r="S41" i="1"/>
  <c r="AB41" i="1" s="1"/>
  <c r="S42" i="1"/>
  <c r="AB42" i="1" s="1"/>
  <c r="S43" i="1"/>
  <c r="AB43" i="1" s="1"/>
  <c r="S44" i="1"/>
  <c r="AB44" i="1" s="1"/>
  <c r="S45" i="1"/>
  <c r="AB45" i="1" s="1"/>
  <c r="S46" i="1"/>
  <c r="AB46" i="1" s="1"/>
  <c r="S47" i="1"/>
  <c r="AB47" i="1" s="1"/>
  <c r="S48" i="1"/>
  <c r="AB48" i="1" s="1"/>
  <c r="S49" i="1"/>
  <c r="AB49" i="1" s="1"/>
  <c r="S50" i="1"/>
  <c r="AB50" i="1" s="1"/>
  <c r="S51" i="1"/>
  <c r="AB51" i="1" s="1"/>
  <c r="S52" i="1"/>
  <c r="AB52" i="1" s="1"/>
  <c r="S53" i="1"/>
  <c r="AB53" i="1" s="1"/>
  <c r="S54" i="1"/>
  <c r="AB54" i="1" s="1"/>
  <c r="S55" i="1"/>
  <c r="AB55" i="1" s="1"/>
  <c r="S56" i="1"/>
  <c r="AB56" i="1" s="1"/>
  <c r="S57" i="1"/>
  <c r="AB57" i="1" s="1"/>
  <c r="S58" i="1"/>
  <c r="AB58" i="1" s="1"/>
  <c r="S59" i="1"/>
  <c r="AB59" i="1" s="1"/>
  <c r="S60" i="1"/>
  <c r="AB60" i="1" s="1"/>
  <c r="S61" i="1"/>
  <c r="AB61" i="1" s="1"/>
  <c r="S62" i="1"/>
  <c r="AB62" i="1" s="1"/>
  <c r="S63" i="1"/>
  <c r="AB63" i="1" s="1"/>
  <c r="S64" i="1"/>
  <c r="AB64" i="1" s="1"/>
  <c r="S65" i="1"/>
  <c r="AB65" i="1" s="1"/>
  <c r="S66" i="1"/>
  <c r="AB66" i="1" s="1"/>
  <c r="S67" i="1"/>
  <c r="AB67" i="1" s="1"/>
  <c r="S68" i="1"/>
  <c r="AB68" i="1" s="1"/>
  <c r="S69" i="1"/>
  <c r="AB69" i="1" s="1"/>
  <c r="O4" i="1"/>
  <c r="AA4" i="1" s="1"/>
  <c r="O5" i="1"/>
  <c r="AA5" i="1" s="1"/>
  <c r="O6" i="1"/>
  <c r="AA6" i="1" s="1"/>
  <c r="O7" i="1"/>
  <c r="AA7" i="1" s="1"/>
  <c r="O8" i="1"/>
  <c r="AA8" i="1" s="1"/>
  <c r="O9" i="1"/>
  <c r="AA9" i="1" s="1"/>
  <c r="O10" i="1"/>
  <c r="AA10" i="1" s="1"/>
  <c r="O11" i="1"/>
  <c r="AA11" i="1" s="1"/>
  <c r="O12" i="1"/>
  <c r="AA12" i="1" s="1"/>
  <c r="O13" i="1"/>
  <c r="AA13" i="1" s="1"/>
  <c r="O14" i="1"/>
  <c r="AA14" i="1" s="1"/>
  <c r="O15" i="1"/>
  <c r="AA15" i="1" s="1"/>
  <c r="O16" i="1"/>
  <c r="AA16" i="1" s="1"/>
  <c r="O17" i="1"/>
  <c r="AA17" i="1" s="1"/>
  <c r="O18" i="1"/>
  <c r="AA18" i="1" s="1"/>
  <c r="O19" i="1"/>
  <c r="AA19" i="1" s="1"/>
  <c r="O20" i="1"/>
  <c r="AA20" i="1" s="1"/>
  <c r="O21" i="1"/>
  <c r="AA21" i="1" s="1"/>
  <c r="O22" i="1"/>
  <c r="AA22" i="1" s="1"/>
  <c r="O23" i="1"/>
  <c r="AA23" i="1" s="1"/>
  <c r="AC23" i="1" s="1"/>
  <c r="O24" i="1"/>
  <c r="AA24" i="1" s="1"/>
  <c r="O25" i="1"/>
  <c r="AA25" i="1" s="1"/>
  <c r="O26" i="1"/>
  <c r="AA26" i="1" s="1"/>
  <c r="O27" i="1"/>
  <c r="AA27" i="1" s="1"/>
  <c r="O28" i="1"/>
  <c r="AA28" i="1" s="1"/>
  <c r="O29" i="1"/>
  <c r="AA29" i="1" s="1"/>
  <c r="O30" i="1"/>
  <c r="AA30" i="1" s="1"/>
  <c r="O31" i="1"/>
  <c r="AA31" i="1" s="1"/>
  <c r="O32" i="1"/>
  <c r="AA32" i="1" s="1"/>
  <c r="O33" i="1"/>
  <c r="AA33" i="1" s="1"/>
  <c r="O34" i="1"/>
  <c r="AA34" i="1" s="1"/>
  <c r="O35" i="1"/>
  <c r="AA35" i="1" s="1"/>
  <c r="O36" i="1"/>
  <c r="AA36" i="1" s="1"/>
  <c r="O37" i="1"/>
  <c r="AA37" i="1" s="1"/>
  <c r="O38" i="1"/>
  <c r="AA38" i="1" s="1"/>
  <c r="O39" i="1"/>
  <c r="AA39" i="1" s="1"/>
  <c r="O40" i="1"/>
  <c r="AA40" i="1" s="1"/>
  <c r="O41" i="1"/>
  <c r="AA41" i="1" s="1"/>
  <c r="O42" i="1"/>
  <c r="AA42" i="1" s="1"/>
  <c r="O43" i="1"/>
  <c r="AA43" i="1" s="1"/>
  <c r="O44" i="1"/>
  <c r="AA44" i="1" s="1"/>
  <c r="O45" i="1"/>
  <c r="AA45" i="1" s="1"/>
  <c r="O46" i="1"/>
  <c r="AA46" i="1" s="1"/>
  <c r="O47" i="1"/>
  <c r="AA47" i="1" s="1"/>
  <c r="O48" i="1"/>
  <c r="AA48" i="1" s="1"/>
  <c r="O49" i="1"/>
  <c r="AA49" i="1" s="1"/>
  <c r="O50" i="1"/>
  <c r="AA50" i="1" s="1"/>
  <c r="O51" i="1"/>
  <c r="AA51" i="1" s="1"/>
  <c r="O52" i="1"/>
  <c r="AA52" i="1" s="1"/>
  <c r="O53" i="1"/>
  <c r="AA53" i="1" s="1"/>
  <c r="O54" i="1"/>
  <c r="AA54" i="1" s="1"/>
  <c r="O55" i="1"/>
  <c r="AA55" i="1" s="1"/>
  <c r="O56" i="1"/>
  <c r="AA56" i="1" s="1"/>
  <c r="O57" i="1"/>
  <c r="AA57" i="1" s="1"/>
  <c r="O58" i="1"/>
  <c r="AA58" i="1" s="1"/>
  <c r="O59" i="1"/>
  <c r="AA59" i="1" s="1"/>
  <c r="O60" i="1"/>
  <c r="AA60" i="1" s="1"/>
  <c r="O61" i="1"/>
  <c r="AA61" i="1" s="1"/>
  <c r="O62" i="1"/>
  <c r="AA62" i="1" s="1"/>
  <c r="O63" i="1"/>
  <c r="AA63" i="1" s="1"/>
  <c r="O64" i="1"/>
  <c r="AA64" i="1" s="1"/>
  <c r="O65" i="1"/>
  <c r="AA65" i="1" s="1"/>
  <c r="O66" i="1"/>
  <c r="AA66" i="1" s="1"/>
  <c r="O67" i="1"/>
  <c r="AA67" i="1" s="1"/>
  <c r="O68" i="1"/>
  <c r="AA68" i="1" s="1"/>
  <c r="O69" i="1"/>
  <c r="AA69" i="1" s="1"/>
  <c r="AC6" i="4" l="1"/>
  <c r="AC127" i="4"/>
  <c r="AC131" i="4"/>
  <c r="AC128" i="4"/>
  <c r="AC115" i="4"/>
  <c r="AC108" i="4"/>
  <c r="AC107" i="4"/>
  <c r="AC105" i="4"/>
  <c r="AC101" i="4"/>
  <c r="AC68" i="4"/>
  <c r="AC37" i="4"/>
  <c r="AC36" i="4"/>
  <c r="AC17" i="4"/>
  <c r="AC3" i="4"/>
  <c r="AC118" i="4"/>
  <c r="AC98" i="4"/>
  <c r="AC13" i="4"/>
  <c r="AC109" i="4"/>
  <c r="AC117" i="4"/>
  <c r="AC58" i="4"/>
  <c r="AC91" i="4"/>
  <c r="AC8" i="4"/>
  <c r="AC135" i="4"/>
  <c r="AC96" i="4"/>
  <c r="AC28" i="4"/>
  <c r="AC7" i="4"/>
  <c r="AC29" i="2"/>
  <c r="AC52" i="2"/>
  <c r="AC88" i="4"/>
  <c r="AC22" i="1"/>
  <c r="AC21" i="1"/>
  <c r="AC60" i="1"/>
  <c r="AC58" i="1"/>
  <c r="AC38" i="1"/>
  <c r="AC18" i="1"/>
  <c r="AC56" i="1"/>
  <c r="AC66" i="2"/>
  <c r="AC10" i="3"/>
  <c r="AC122" i="4"/>
  <c r="AC46" i="4"/>
  <c r="AC26" i="4"/>
  <c r="AC45" i="4"/>
  <c r="AC25" i="4"/>
  <c r="AC4" i="4"/>
  <c r="AC133" i="4"/>
  <c r="AC95" i="4"/>
  <c r="AC38" i="4"/>
  <c r="AC87" i="4"/>
  <c r="AC67" i="4"/>
  <c r="AC66" i="4"/>
  <c r="AC111" i="4"/>
  <c r="AC100" i="4"/>
  <c r="AC35" i="4"/>
  <c r="AC14" i="4"/>
  <c r="AC52" i="4"/>
  <c r="AC33" i="4"/>
  <c r="AC12" i="4"/>
  <c r="AC83" i="4"/>
  <c r="AC99" i="4"/>
  <c r="AC32" i="4"/>
  <c r="AC11" i="4"/>
  <c r="AC62" i="4"/>
  <c r="AC81" i="4"/>
  <c r="AC137" i="4"/>
  <c r="AC123" i="4"/>
  <c r="AC30" i="4"/>
  <c r="AC80" i="4"/>
  <c r="AC33" i="5"/>
  <c r="AC13" i="5"/>
  <c r="AC4" i="5"/>
  <c r="AC134" i="6"/>
  <c r="AC69" i="4"/>
  <c r="AC76" i="4"/>
  <c r="AC50" i="4"/>
  <c r="AC85" i="4"/>
  <c r="AC55" i="4"/>
  <c r="AC84" i="4"/>
  <c r="AC82" i="4"/>
  <c r="AC3" i="5"/>
  <c r="AC136" i="4"/>
  <c r="AC29" i="4"/>
  <c r="AC42" i="4"/>
  <c r="AC70" i="2"/>
  <c r="AC16" i="4"/>
  <c r="AC75" i="4"/>
  <c r="AC65" i="4"/>
  <c r="AC126" i="4"/>
  <c r="AC63" i="4"/>
  <c r="AC138" i="4"/>
  <c r="AC31" i="4"/>
  <c r="AC125" i="4"/>
  <c r="AC130" i="4"/>
  <c r="AC86" i="4"/>
  <c r="AC23" i="5"/>
  <c r="AC306" i="6"/>
  <c r="AC247" i="6"/>
  <c r="AC32" i="5"/>
  <c r="AC12" i="5"/>
  <c r="AC5" i="4"/>
  <c r="AC9" i="3"/>
  <c r="AC31" i="5"/>
  <c r="AC144" i="6"/>
  <c r="AC30" i="5"/>
  <c r="AC10" i="5"/>
  <c r="AC22" i="3"/>
  <c r="AC65" i="2"/>
  <c r="AC29" i="5"/>
  <c r="AC43" i="4"/>
  <c r="AE5" i="8"/>
  <c r="AC70" i="4"/>
  <c r="AC64" i="4"/>
  <c r="AC11" i="5"/>
  <c r="AC71" i="4"/>
  <c r="AC51" i="4"/>
  <c r="AC92" i="4"/>
  <c r="AC59" i="1"/>
  <c r="AC57" i="1"/>
  <c r="AC2" i="1"/>
  <c r="AC39" i="1"/>
  <c r="AC37" i="1"/>
  <c r="AC11" i="1"/>
  <c r="AC75" i="2"/>
  <c r="AC43" i="2"/>
  <c r="AC34" i="2"/>
  <c r="AC64" i="2"/>
  <c r="AC20" i="2"/>
  <c r="AC50" i="2"/>
  <c r="AC19" i="2"/>
  <c r="AC54" i="2"/>
  <c r="AC35" i="2"/>
  <c r="AC21" i="2"/>
  <c r="AC48" i="2"/>
  <c r="AC24" i="2"/>
  <c r="AC15" i="2"/>
  <c r="AC14" i="2"/>
  <c r="AC3" i="3"/>
  <c r="AC15" i="3"/>
  <c r="AC20" i="3"/>
  <c r="AC7" i="3"/>
  <c r="AC6" i="3"/>
  <c r="AC5" i="3"/>
  <c r="AC8" i="3"/>
  <c r="AC16" i="3"/>
  <c r="AC21" i="3"/>
  <c r="AC19" i="3"/>
  <c r="AC17" i="3"/>
  <c r="AC4" i="3"/>
  <c r="AC24" i="4"/>
  <c r="AC78" i="4"/>
  <c r="AC23" i="4"/>
  <c r="AC22" i="4"/>
  <c r="AC73" i="4"/>
  <c r="AC72" i="4"/>
  <c r="AC77" i="4"/>
  <c r="AC41" i="4"/>
  <c r="AC48" i="4"/>
  <c r="AC18" i="3"/>
  <c r="AC39" i="4"/>
  <c r="AC40" i="1"/>
  <c r="AC21" i="4"/>
  <c r="AC49" i="4"/>
  <c r="AC19" i="1"/>
  <c r="AC20" i="4"/>
  <c r="AC17" i="1"/>
  <c r="AC139" i="4"/>
  <c r="AC169" i="6"/>
  <c r="AC13" i="1"/>
  <c r="AC62" i="2"/>
  <c r="AC12" i="1"/>
  <c r="AC114" i="4"/>
  <c r="AC39" i="2"/>
  <c r="AC37" i="8"/>
  <c r="AE37" i="8" s="1"/>
  <c r="AC129" i="4"/>
  <c r="AC54" i="4"/>
  <c r="AC20" i="8"/>
  <c r="AE20" i="8" s="1"/>
  <c r="AC209" i="6"/>
  <c r="AC10" i="4"/>
  <c r="AC9" i="4"/>
  <c r="AC74" i="4"/>
  <c r="AC40" i="2"/>
  <c r="AC69" i="1"/>
  <c r="AC29" i="1"/>
  <c r="AC204" i="6"/>
  <c r="AC6" i="5"/>
  <c r="AC89" i="4"/>
  <c r="AC14" i="3"/>
  <c r="AC30" i="2"/>
  <c r="AC20" i="1"/>
  <c r="AC36" i="8"/>
  <c r="AE36" i="8" s="1"/>
  <c r="AC16" i="2"/>
  <c r="AC28" i="2"/>
  <c r="AC119" i="4"/>
  <c r="AC16" i="1"/>
  <c r="AC15" i="1"/>
  <c r="AC27" i="2"/>
  <c r="AE8" i="8"/>
  <c r="AC3" i="2"/>
  <c r="AC33" i="2"/>
  <c r="AC48" i="1"/>
  <c r="AC67" i="1"/>
  <c r="AC46" i="1"/>
  <c r="AC94" i="4"/>
  <c r="AC124" i="4"/>
  <c r="AC28" i="1"/>
  <c r="AC8" i="2"/>
  <c r="AC27" i="1"/>
  <c r="AC66" i="1"/>
  <c r="AC65" i="1"/>
  <c r="AC34" i="4"/>
  <c r="AC44" i="4"/>
  <c r="AC60" i="4"/>
  <c r="AC22" i="5"/>
  <c r="AC19" i="4"/>
  <c r="AC134" i="4"/>
  <c r="AC85" i="6"/>
  <c r="AC14" i="1"/>
  <c r="AC10" i="1"/>
  <c r="AC68" i="1"/>
  <c r="AC47" i="1"/>
  <c r="AC26" i="1"/>
  <c r="AC45" i="1"/>
  <c r="AC25" i="1"/>
  <c r="AC5" i="1"/>
  <c r="AC64" i="1"/>
  <c r="AC104" i="4"/>
  <c r="AC11" i="3"/>
  <c r="AC59" i="2"/>
  <c r="AC18" i="5"/>
  <c r="AC36" i="5"/>
  <c r="AC16" i="5"/>
  <c r="AC35" i="5"/>
  <c r="AC15" i="5"/>
  <c r="AC28" i="5"/>
  <c r="AC8" i="5"/>
  <c r="AC17" i="5"/>
  <c r="AC27" i="5"/>
  <c r="AC7" i="5"/>
  <c r="AC26" i="5"/>
  <c r="AC21" i="5"/>
  <c r="AC20" i="5"/>
  <c r="AC9" i="5"/>
  <c r="AC19" i="5"/>
  <c r="AC25" i="5"/>
  <c r="AC5" i="5"/>
  <c r="AC24" i="5"/>
  <c r="AC240" i="6"/>
  <c r="AC199" i="6"/>
  <c r="AC224" i="6"/>
  <c r="AC305" i="6"/>
  <c r="AC32" i="6"/>
  <c r="AC52" i="6"/>
  <c r="AC76" i="6"/>
  <c r="AC214" i="6"/>
  <c r="AC302" i="6"/>
  <c r="AC196" i="6"/>
  <c r="AC112" i="6"/>
  <c r="AC211" i="6"/>
  <c r="AC181" i="6"/>
  <c r="AC50" i="6"/>
  <c r="AC277" i="6"/>
  <c r="AC164" i="6"/>
  <c r="AC157" i="6"/>
  <c r="AC221" i="6"/>
  <c r="AC30" i="6"/>
  <c r="AC295" i="6"/>
  <c r="AC300" i="6"/>
  <c r="AC159" i="6"/>
  <c r="AC171" i="6"/>
  <c r="AC186" i="6"/>
  <c r="AC156" i="6"/>
  <c r="AC270" i="6"/>
  <c r="AC245" i="6"/>
  <c r="AC262" i="6"/>
  <c r="AC252" i="6"/>
  <c r="AC191" i="6"/>
  <c r="AC174" i="6"/>
  <c r="AC155" i="6"/>
  <c r="AC255" i="6"/>
  <c r="AC235" i="6"/>
  <c r="AC290" i="6"/>
  <c r="AC53" i="6"/>
  <c r="AC33" i="6"/>
  <c r="AC280" i="6"/>
  <c r="AC260" i="6"/>
  <c r="AC267" i="6"/>
  <c r="AC179" i="6"/>
  <c r="AC229" i="6"/>
  <c r="AC272" i="6"/>
  <c r="AC265" i="6"/>
  <c r="AC242" i="6"/>
  <c r="AC141" i="6"/>
  <c r="AC184" i="6"/>
  <c r="AC39" i="6"/>
  <c r="AC16" i="6"/>
  <c r="AC15" i="6"/>
  <c r="AC37" i="6"/>
  <c r="AC154" i="6"/>
  <c r="AC68" i="6"/>
  <c r="AC166" i="6"/>
  <c r="AC249" i="6"/>
  <c r="AC311" i="6"/>
  <c r="AC292" i="6"/>
  <c r="AC38" i="6"/>
  <c r="AC98" i="6"/>
  <c r="AC14" i="6"/>
  <c r="AC36" i="6"/>
  <c r="AC275" i="6"/>
  <c r="AC237" i="6"/>
  <c r="AC243" i="6"/>
  <c r="AC285" i="6"/>
  <c r="AC207" i="6"/>
  <c r="AC291" i="6"/>
  <c r="AC13" i="6"/>
  <c r="AC35" i="6"/>
  <c r="AC297" i="6"/>
  <c r="AC201" i="6"/>
  <c r="AC195" i="6"/>
  <c r="AC43" i="6"/>
  <c r="AC176" i="6"/>
  <c r="AC17" i="6"/>
  <c r="AC298" i="6"/>
  <c r="AC216" i="6"/>
  <c r="AC146" i="6"/>
  <c r="AC303" i="6"/>
  <c r="AC189" i="6"/>
  <c r="AC274" i="6"/>
  <c r="AC188" i="6"/>
  <c r="AC182" i="6"/>
  <c r="AC200" i="6"/>
  <c r="AC194" i="6"/>
  <c r="AC269" i="6"/>
  <c r="AC263" i="6"/>
  <c r="AC257" i="6"/>
  <c r="AC226" i="6"/>
  <c r="AC301" i="6"/>
  <c r="AC232" i="6"/>
  <c r="AC83" i="6"/>
  <c r="AC282" i="6"/>
  <c r="AC250" i="6"/>
  <c r="AC244" i="6"/>
  <c r="AC238" i="6"/>
  <c r="AC82" i="6"/>
  <c r="AC225" i="6"/>
  <c r="AC219" i="6"/>
  <c r="AC231" i="6"/>
  <c r="AC149" i="6"/>
  <c r="AC22" i="6"/>
  <c r="AC64" i="6"/>
  <c r="AC104" i="6"/>
  <c r="AC173" i="6"/>
  <c r="AC167" i="6"/>
  <c r="AC161" i="6"/>
  <c r="AC135" i="6"/>
  <c r="AC59" i="6"/>
  <c r="AC304" i="6"/>
  <c r="AC210" i="6"/>
  <c r="AC140" i="6"/>
  <c r="AC123" i="6"/>
  <c r="AC103" i="6"/>
  <c r="AC62" i="6"/>
  <c r="AC122" i="6"/>
  <c r="AC102" i="6"/>
  <c r="AC55" i="8"/>
  <c r="AE55" i="8" s="1"/>
  <c r="AE54" i="8"/>
  <c r="AE52" i="8"/>
  <c r="AE56" i="8"/>
  <c r="AE32" i="8"/>
  <c r="AE33" i="8"/>
  <c r="AE18" i="8"/>
  <c r="AE50" i="8"/>
  <c r="AE46" i="8"/>
  <c r="AE31" i="8"/>
  <c r="AE12" i="8"/>
  <c r="AE51" i="8"/>
  <c r="AE42" i="8"/>
  <c r="AE17" i="8"/>
  <c r="AE9" i="8"/>
  <c r="AE38" i="8"/>
  <c r="AE27" i="8"/>
  <c r="AE6" i="8"/>
  <c r="AE47" i="8"/>
  <c r="AE24" i="8"/>
  <c r="AE15" i="8"/>
  <c r="AE19" i="8"/>
  <c r="AE30" i="8"/>
  <c r="AE29" i="8"/>
  <c r="AE14" i="8"/>
  <c r="AE53" i="8"/>
  <c r="AE11" i="8"/>
  <c r="AE35" i="8"/>
  <c r="AE13" i="8"/>
  <c r="AE34" i="8"/>
  <c r="AE7" i="8"/>
  <c r="AE4" i="8"/>
  <c r="AE3" i="8"/>
  <c r="AE57" i="8"/>
  <c r="AE16" i="8"/>
  <c r="AC46" i="2"/>
  <c r="AC55" i="2"/>
  <c r="AC60" i="2"/>
  <c r="AC42" i="2"/>
  <c r="AC71" i="2"/>
  <c r="AC53" i="2"/>
  <c r="AC45" i="2"/>
  <c r="AC44" i="2"/>
  <c r="AC11" i="2"/>
  <c r="AC41" i="2"/>
  <c r="AC10" i="2"/>
  <c r="AC69" i="2"/>
  <c r="AC26" i="2"/>
  <c r="AC38" i="2"/>
  <c r="AC49" i="2"/>
  <c r="AC37" i="2"/>
  <c r="AC56" i="2"/>
  <c r="AC13" i="2"/>
  <c r="AC18" i="2"/>
  <c r="AC47" i="2"/>
  <c r="AC5" i="2"/>
  <c r="AC67" i="2"/>
  <c r="AC4" i="2"/>
  <c r="AC51" i="2"/>
  <c r="AC9" i="2"/>
  <c r="AC17" i="2"/>
  <c r="AC7" i="2"/>
  <c r="AC6" i="2"/>
  <c r="AC36" i="2"/>
  <c r="AC2" i="2"/>
  <c r="AC23" i="2"/>
  <c r="AC22" i="2"/>
  <c r="AC58" i="2"/>
  <c r="AC63" i="2"/>
  <c r="AC68" i="2"/>
  <c r="AC73" i="2"/>
  <c r="AC41" i="1"/>
  <c r="AC99" i="6"/>
  <c r="AC12" i="6"/>
  <c r="AC114" i="6"/>
  <c r="AC94" i="6"/>
  <c r="AC220" i="6"/>
  <c r="AC183" i="6"/>
  <c r="AC177" i="6"/>
  <c r="AC147" i="6"/>
  <c r="AC283" i="6"/>
  <c r="AC276" i="6"/>
  <c r="AC286" i="6"/>
  <c r="AC273" i="6"/>
  <c r="AC69" i="6"/>
  <c r="AC279" i="6"/>
  <c r="AC266" i="6"/>
  <c r="AC213" i="6"/>
  <c r="AC170" i="6"/>
  <c r="AC152" i="6"/>
  <c r="AC132" i="6"/>
  <c r="AC254" i="6"/>
  <c r="AC248" i="6"/>
  <c r="AC205" i="6"/>
  <c r="AC158" i="6"/>
  <c r="AC67" i="6"/>
  <c r="AC296" i="6"/>
  <c r="AC193" i="6"/>
  <c r="AC145" i="6"/>
  <c r="AC312" i="6"/>
  <c r="AC51" i="6"/>
  <c r="AC31" i="6"/>
  <c r="AC111" i="6"/>
  <c r="AC212" i="6"/>
  <c r="AC175" i="6"/>
  <c r="AC151" i="6"/>
  <c r="AC131" i="6"/>
  <c r="AC271" i="6"/>
  <c r="AC259" i="6"/>
  <c r="AC84" i="6"/>
  <c r="AC129" i="6"/>
  <c r="AC217" i="6"/>
  <c r="AC5" i="6"/>
  <c r="AC264" i="6"/>
  <c r="AC136" i="6"/>
  <c r="AC81" i="6"/>
  <c r="AC246" i="6"/>
  <c r="AC203" i="6"/>
  <c r="AC197" i="6"/>
  <c r="AC119" i="6"/>
  <c r="AC118" i="6"/>
  <c r="AC11" i="6"/>
  <c r="AC309" i="6"/>
  <c r="AC10" i="6"/>
  <c r="AC308" i="6"/>
  <c r="AC230" i="6"/>
  <c r="AC187" i="6"/>
  <c r="AC109" i="6"/>
  <c r="AC66" i="6"/>
  <c r="AC91" i="6"/>
  <c r="AC284" i="6"/>
  <c r="AC278" i="6"/>
  <c r="AC218" i="6"/>
  <c r="AC90" i="6"/>
  <c r="AC253" i="6"/>
  <c r="AC163" i="6"/>
  <c r="AC7" i="6"/>
  <c r="AC307" i="6"/>
  <c r="AC241" i="6"/>
  <c r="AC198" i="6"/>
  <c r="AC192" i="6"/>
  <c r="AC289" i="6"/>
  <c r="AC223" i="6"/>
  <c r="AC180" i="6"/>
  <c r="AC150" i="6"/>
  <c r="AC258" i="6"/>
  <c r="AC168" i="6"/>
  <c r="AC162" i="6"/>
  <c r="AC130" i="6"/>
  <c r="AC294" i="6"/>
  <c r="AC288" i="6"/>
  <c r="AC228" i="6"/>
  <c r="AC222" i="6"/>
  <c r="AC185" i="6"/>
  <c r="AC143" i="6"/>
  <c r="AC138" i="6"/>
  <c r="AC251" i="6"/>
  <c r="AC202" i="6"/>
  <c r="AC20" i="6"/>
  <c r="AC42" i="6"/>
  <c r="AC139" i="6"/>
  <c r="AC293" i="6"/>
  <c r="AC233" i="6"/>
  <c r="AC126" i="6"/>
  <c r="AC61" i="6"/>
  <c r="AC101" i="6"/>
  <c r="AC268" i="6"/>
  <c r="AC215" i="6"/>
  <c r="AC178" i="6"/>
  <c r="AC172" i="6"/>
  <c r="AC148" i="6"/>
  <c r="AC299" i="6"/>
  <c r="AC239" i="6"/>
  <c r="AC227" i="6"/>
  <c r="AC190" i="6"/>
  <c r="AC142" i="6"/>
  <c r="AC19" i="6"/>
  <c r="AC41" i="6"/>
  <c r="AC121" i="6"/>
  <c r="AC206" i="6"/>
  <c r="AC28" i="6"/>
  <c r="AC281" i="6"/>
  <c r="AC18" i="6"/>
  <c r="AC40" i="6"/>
  <c r="AC120" i="6"/>
  <c r="AC100" i="6"/>
  <c r="AC208" i="6"/>
  <c r="AC256" i="6"/>
  <c r="AC160" i="6"/>
  <c r="AC57" i="6"/>
  <c r="AC310" i="6"/>
  <c r="AC261" i="6"/>
  <c r="AC165" i="6"/>
  <c r="AC153" i="6"/>
  <c r="AC133" i="6"/>
  <c r="AC89" i="6"/>
  <c r="AC113" i="6"/>
  <c r="AC23" i="6"/>
  <c r="AC73" i="6"/>
  <c r="AC96" i="6"/>
  <c r="AC95" i="6"/>
  <c r="AC97" i="6"/>
  <c r="AC29" i="6"/>
  <c r="AC8" i="6"/>
  <c r="AC137" i="6"/>
  <c r="AC27" i="6"/>
  <c r="AC49" i="6"/>
  <c r="AC26" i="6"/>
  <c r="AC6" i="6"/>
  <c r="AC48" i="6"/>
  <c r="AC128" i="6"/>
  <c r="AC108" i="6"/>
  <c r="AC88" i="6"/>
  <c r="AC117" i="6"/>
  <c r="AC24" i="6"/>
  <c r="AC4" i="6"/>
  <c r="AC46" i="6"/>
  <c r="AC106" i="6"/>
  <c r="AC86" i="6"/>
  <c r="AC116" i="6"/>
  <c r="AC127" i="6"/>
  <c r="AC92" i="6"/>
  <c r="AC34" i="6"/>
  <c r="AC115" i="6"/>
  <c r="AC3" i="6"/>
  <c r="AC93" i="6"/>
  <c r="AC9" i="6"/>
  <c r="AC47" i="6"/>
  <c r="AC107" i="6"/>
  <c r="AC87" i="6"/>
  <c r="AC45" i="6"/>
  <c r="AC125" i="6"/>
  <c r="AC105" i="6"/>
  <c r="AC44" i="6"/>
  <c r="AC124" i="6"/>
  <c r="AC21" i="6"/>
  <c r="AC65" i="6"/>
  <c r="AC58" i="6"/>
  <c r="AC55" i="6"/>
  <c r="AC70" i="6"/>
  <c r="AC56" i="6"/>
  <c r="AC25" i="6"/>
  <c r="AC79" i="6"/>
  <c r="AC78" i="6"/>
  <c r="AC236" i="6"/>
  <c r="AC110" i="6"/>
  <c r="AC72" i="6"/>
  <c r="AC60" i="6"/>
  <c r="AC80" i="6"/>
  <c r="AC77" i="6"/>
  <c r="AC75" i="6"/>
  <c r="AC74" i="6"/>
  <c r="AC71" i="6"/>
  <c r="AC63" i="6"/>
  <c r="AC54" i="6"/>
  <c r="AE10" i="8"/>
  <c r="AC93" i="4"/>
  <c r="AC15" i="4"/>
  <c r="AE41" i="8"/>
  <c r="AC2" i="6"/>
  <c r="AC2" i="5"/>
  <c r="AE2" i="8"/>
  <c r="AC2" i="4"/>
  <c r="AC2" i="3"/>
  <c r="AC63" i="1"/>
  <c r="AC61" i="1"/>
  <c r="AC62" i="1"/>
  <c r="AC54" i="1"/>
  <c r="AC53" i="1"/>
  <c r="AC52" i="1"/>
  <c r="AC55" i="1"/>
  <c r="AC51" i="1"/>
  <c r="AC50" i="1"/>
  <c r="AC49" i="1"/>
  <c r="AC44" i="1"/>
  <c r="AC43" i="1"/>
  <c r="AC42" i="1"/>
  <c r="AC36" i="1"/>
  <c r="AC35" i="1"/>
  <c r="AC34" i="1"/>
  <c r="AC33" i="1"/>
  <c r="AC32" i="1"/>
  <c r="AC31" i="1"/>
  <c r="AC30" i="1"/>
  <c r="AC24" i="1"/>
  <c r="AC9" i="1"/>
  <c r="AC8" i="1"/>
  <c r="AC6" i="1"/>
  <c r="AC7" i="1"/>
  <c r="AC4" i="1"/>
  <c r="AC3" i="1"/>
</calcChain>
</file>

<file path=xl/sharedStrings.xml><?xml version="1.0" encoding="utf-8"?>
<sst xmlns="http://schemas.openxmlformats.org/spreadsheetml/2006/main" count="8760" uniqueCount="800">
  <si>
    <t xml:space="preserve"> Polypropylene microplastics affect the physiology in Drosophila model</t>
  </si>
  <si>
    <t xml:space="preserve"> Exposure to polystyrene microplastic beads causes sex-specific toxic effects in the model insect Drosophila melanogaster</t>
  </si>
  <si>
    <t xml:space="preserve"> Effects of Polyurethane Small-Sized Microplastics in the Chironomid, Chironomus riparius: Responses at Organismal and Sub-Organismal Levels</t>
  </si>
  <si>
    <t>Intake of polyamide microplastics affects the behavior and metabolism of Drosophila</t>
  </si>
  <si>
    <t>Neuromuscular, retinal, and reproductive impact of low-dose polystyrene microplastics on Drosophila</t>
  </si>
  <si>
    <t xml:space="preserve"> Microplastics alter behavioural responses of an insect herbivore to a plant-soil system</t>
  </si>
  <si>
    <t>Effects of PET microplastics on the physiology of Drosophila</t>
  </si>
  <si>
    <t>Adverse biological effects of ingested polystyrene microplastics using Drosophila melanogaster as a model in vivo organism</t>
  </si>
  <si>
    <t xml:space="preserve"> Ingestion and effects of polystyrene nanoparticles in the silkworm Bombyx mori</t>
  </si>
  <si>
    <t>PVC and PET microplastics in caddisfly (Lepidostoma basale) cases reduce case stability</t>
  </si>
  <si>
    <t>Combined effects of polyethylene microplastics and natural stressors on Chironomus riparius life-history traits</t>
  </si>
  <si>
    <t>Polyethylene microplastics and substrate availability can affect emergence responses of the freshwater insect Chironomus sancticaroli</t>
  </si>
  <si>
    <t>Altered gene expression in Chironomus riparius (insecta) in response to tire rubber and polystyrene microplastics</t>
  </si>
  <si>
    <t>Evaluation of the potential toxicity of UV-weathered virgin polyamide microplastics to non-biting midge Chironomus riparius</t>
  </si>
  <si>
    <t>Microplastics affected black soldier fly (Hermetia illucens) pupation and short chain fatty acids</t>
  </si>
  <si>
    <t>Ingestion of small-sized and irregularly shaped polyethylene microplastics affect Chironomus riparius life-history traits</t>
  </si>
  <si>
    <t>Microplastic ingestion perturbs the microbiome of Aedes albopictus and Aedes aegypti</t>
  </si>
  <si>
    <t>The influence of microplastics on trophic interaction strengths and oviposition preferences of dipterans</t>
  </si>
  <si>
    <t>Chronic Exposure to Polystyrene Microplastic Fragments Has No Effect on Honey Bee Survival, but Reduces Feeding Rate and Body Weight</t>
  </si>
  <si>
    <t>Microplastic Polystyrene Ingestion Promotes the Susceptibility of Honeybee to Viral Infection</t>
  </si>
  <si>
    <t>Ontogenetic Transfer of Microplastics in Bloodsucking Mosquitoes Aedes aegypti L. (Diptera: Culicidae) Is a Potential Pathway for Particle Distribution in the Environment</t>
  </si>
  <si>
    <t>Microplastics incorporated by honeybees from food are transferred to honey, wax and larvae</t>
  </si>
  <si>
    <t>Unveiling the residual plastics and produced toxicity during biodegradation of polyethylene (PE), polystyrene (PS), and polyvinyl chloride (PVC) microplastics by mealworms (Larvae of Tenebrio molitor)</t>
  </si>
  <si>
    <t>The hazardous impact of true-to-life PET nanoplastics in Drosophila</t>
  </si>
  <si>
    <t>Toxic effects of acute exposure to polystyrene microplastics and nanoplastics on the model insect, silkworm Bombyx mori</t>
  </si>
  <si>
    <t>Gut microbiota protects honey bees (Apis mellifera L.) against polystyrene microplastics exposure risks</t>
    <phoneticPr fontId="1" type="noConversion"/>
  </si>
  <si>
    <t xml:space="preserve"> Microplastics in freshwater and their effects on host microbiota</t>
  </si>
  <si>
    <t>Photoaging of biodegradable nanoplastics regulates their toxicity to aquatic insects (Chironomus kiinensis) by impairing gut and disrupting intestinal microbiota</t>
  </si>
  <si>
    <t>Nanoplastics Affect the Bioaccumulation and Gut Toxicity of Emerging Perfluoroalkyl Acid Alternatives to Aquatic Insects (Chironomus kiinensis): Importance of Plastic Surface Charge</t>
  </si>
  <si>
    <t>Differentially Charged Nanoplastics Induce Distinct Effects on the Growth and Gut of Benthic Insects (Chironomus kiinensis) via Charge-Specific Accumulation and Perturbation of the Gut Microbiota</t>
  </si>
  <si>
    <t>Ingestion and effects of polystyrene nanoparticles in the silkworm Bombyx mori</t>
  </si>
  <si>
    <t>Exposure to polystyrene microplastic beads causes sex-specific toxic effects in the model insect Drosophila melanogaster</t>
  </si>
  <si>
    <t>Metabolomic responses in freshwater benthic invertebrate, Chironomus tepperi, exposed to polyethylene microplastics: A two-generational investigation</t>
  </si>
  <si>
    <t>Biodegradation of Polystyrene by Dark (Tenebrio obscurus) and Yellow (Tenebrio molitor) Mealworms (Coleoptera: Tenebrionidae)</t>
  </si>
  <si>
    <t>Size-dependent and sex-specific negative effects of micro- and nano-sized polystyrene particles in the terrestrial invertebrate model Drosophila melanogaster</t>
  </si>
  <si>
    <t>Examining effects of ontogenic microplastic transference on Culex mosquito mortality and adult weight</t>
  </si>
  <si>
    <t>id</t>
  </si>
  <si>
    <t>id2</t>
  </si>
  <si>
    <t>title</t>
  </si>
  <si>
    <t xml:space="preserve">Species </t>
  </si>
  <si>
    <t>index/effect</t>
  </si>
  <si>
    <t>common_id</t>
  </si>
  <si>
    <t>Tn</t>
  </si>
  <si>
    <t>TM</t>
  </si>
  <si>
    <t>TSE</t>
  </si>
  <si>
    <t>TSD</t>
  </si>
  <si>
    <t>Cn</t>
  </si>
  <si>
    <t>CM</t>
  </si>
  <si>
    <t>CSE</t>
  </si>
  <si>
    <t>CSD</t>
  </si>
  <si>
    <t>n_individuals</t>
  </si>
  <si>
    <t>Dose</t>
  </si>
  <si>
    <t>Size</t>
  </si>
  <si>
    <t>yi</t>
  </si>
  <si>
    <t>vt</t>
  </si>
  <si>
    <t>vc</t>
  </si>
  <si>
    <t>vi</t>
  </si>
  <si>
    <t xml:space="preserve">Group/ plastic </t>
  </si>
  <si>
    <t xml:space="preserve">Country </t>
    <phoneticPr fontId="1" type="noConversion"/>
  </si>
  <si>
    <t>Describe</t>
    <phoneticPr fontId="1" type="noConversion"/>
  </si>
  <si>
    <t>The exposure to MPs results in individual or population-level behavioral alterations in insects.</t>
  </si>
  <si>
    <t>End Point</t>
    <phoneticPr fontId="1" type="noConversion"/>
  </si>
  <si>
    <t>Drosophila melanogaster</t>
  </si>
  <si>
    <t> Egypt</t>
  </si>
  <si>
    <t>Microplastic</t>
  </si>
  <si>
    <t> Polystyrene</t>
  </si>
  <si>
    <t xml:space="preserve">Behaviour </t>
  </si>
  <si>
    <t>Food selection rate</t>
  </si>
  <si>
    <t>Sex</t>
  </si>
  <si>
    <t>Male</t>
  </si>
  <si>
    <t>0.005 µg/ml</t>
  </si>
  <si>
    <t>0.05 µg/ml</t>
  </si>
  <si>
    <t>0.5 µg/ml</t>
  </si>
  <si>
    <t>Female</t>
  </si>
  <si>
    <t>Feeding</t>
  </si>
  <si>
    <t>Food intake</t>
  </si>
  <si>
    <t>Following the exposure of MPs by food intake or other indirect channels, the feeding actions change.</t>
  </si>
  <si>
    <t>The differences in biological matrix and index sizes at the individual level following MPs exposure.</t>
  </si>
  <si>
    <t>Body length</t>
  </si>
  <si>
    <t>Chironomus riparius</t>
  </si>
  <si>
    <t>Portugal</t>
  </si>
  <si>
    <t>Growth</t>
  </si>
  <si>
    <t>93.5 mg/Kg</t>
  </si>
  <si>
    <t>187.5 mg/Kg</t>
  </si>
  <si>
    <t>375 mg/Kg</t>
  </si>
  <si>
    <t>750 mg/Kg</t>
  </si>
  <si>
    <t>Mortality or survival rates of insects presenting after exposure to MPs</t>
  </si>
  <si>
    <t>Emerged individual number</t>
  </si>
  <si>
    <t>Emergence ratio</t>
  </si>
  <si>
    <t>Any ability an insect has after being exposed to MPs to grow relative to a certain body part</t>
  </si>
  <si>
    <t> 7.0-9.0 μm</t>
  </si>
  <si>
    <t>The alterations in an individual insect's health after exposure to MPs</t>
  </si>
  <si>
    <t>Stage</t>
  </si>
  <si>
    <t>Adult</t>
  </si>
  <si>
    <t>Larvae</t>
  </si>
  <si>
    <t>Body weight</t>
  </si>
  <si>
    <t>Protein level, Lipid level; Micro elements level</t>
  </si>
  <si>
    <t>Polyurethane</t>
  </si>
  <si>
    <t xml:space="preserve"> Drosophila</t>
  </si>
  <si>
    <t>China</t>
  </si>
  <si>
    <t>Polyamide</t>
  </si>
  <si>
    <t>0.1 g/L</t>
  </si>
  <si>
    <t>1 g/L</t>
  </si>
  <si>
    <t>10 g/L</t>
  </si>
  <si>
    <t>20 g/L</t>
  </si>
  <si>
    <t>Health</t>
  </si>
  <si>
    <t xml:space="preserve"> </t>
  </si>
  <si>
    <t xml:space="preserve">Male </t>
  </si>
  <si>
    <t>TG Content</t>
  </si>
  <si>
    <t xml:space="preserve">Protein Content </t>
  </si>
  <si>
    <t>D-Glucose content</t>
  </si>
  <si>
    <t>Sleep time</t>
  </si>
  <si>
    <t>6.5 μm</t>
  </si>
  <si>
    <t>0.1 μm</t>
  </si>
  <si>
    <t>Polystyrene</t>
  </si>
  <si>
    <t>Taiwan</t>
  </si>
  <si>
    <t>50 μg/L</t>
  </si>
  <si>
    <t>2 µm</t>
  </si>
  <si>
    <t>Number of eggs</t>
    <phoneticPr fontId="1" type="noConversion"/>
  </si>
  <si>
    <t>Egg to pupae</t>
    <phoneticPr fontId="1" type="noConversion"/>
  </si>
  <si>
    <t xml:space="preserve">Embryo to eclosure </t>
    <phoneticPr fontId="1" type="noConversion"/>
  </si>
  <si>
    <t>Residence time</t>
  </si>
  <si>
    <r>
      <t> </t>
    </r>
    <r>
      <rPr>
        <i/>
        <sz val="12"/>
        <color rgb="FF1F1F1F"/>
        <rFont val="Georgia"/>
        <family val="1"/>
      </rPr>
      <t>Bradysia difformis</t>
    </r>
    <phoneticPr fontId="1" type="noConversion"/>
  </si>
  <si>
    <t> Italy</t>
  </si>
  <si>
    <t>HDPE</t>
  </si>
  <si>
    <t>158 μm</t>
    <phoneticPr fontId="1" type="noConversion"/>
  </si>
  <si>
    <t xml:space="preserve">Duartion </t>
    <phoneticPr fontId="1" type="noConversion"/>
  </si>
  <si>
    <t>1 day</t>
    <phoneticPr fontId="1" type="noConversion"/>
  </si>
  <si>
    <t xml:space="preserve">7 day </t>
    <phoneticPr fontId="1" type="noConversion"/>
  </si>
  <si>
    <t>females </t>
  </si>
  <si>
    <t>Effects of PET microplastics on the physiology of Drosophila</t>
    <phoneticPr fontId="1" type="noConversion"/>
  </si>
  <si>
    <t>Drosophila</t>
  </si>
  <si>
    <t>China</t>
    <phoneticPr fontId="1" type="noConversion"/>
  </si>
  <si>
    <t>Microplastic</t>
    <phoneticPr fontId="1" type="noConversion"/>
  </si>
  <si>
    <t xml:space="preserve"> PET</t>
  </si>
  <si>
    <t>2 μm</t>
  </si>
  <si>
    <t>1 g/L</t>
    <phoneticPr fontId="1" type="noConversion"/>
  </si>
  <si>
    <t>10 g/L</t>
    <phoneticPr fontId="1" type="noConversion"/>
  </si>
  <si>
    <t>20 g/L</t>
    <phoneticPr fontId="1" type="noConversion"/>
  </si>
  <si>
    <t xml:space="preserve">Male </t>
    <phoneticPr fontId="1" type="noConversion"/>
  </si>
  <si>
    <t>Adult</t>
    <phoneticPr fontId="1" type="noConversion"/>
  </si>
  <si>
    <t>Female</t>
    <phoneticPr fontId="1" type="noConversion"/>
  </si>
  <si>
    <t>Sum activity</t>
  </si>
  <si>
    <t>24 h</t>
  </si>
  <si>
    <t>Fecundity</t>
  </si>
  <si>
    <t>Drosophila</t>
    <phoneticPr fontId="1" type="noConversion"/>
  </si>
  <si>
    <t>Fecundity</t>
    <phoneticPr fontId="1" type="noConversion"/>
  </si>
  <si>
    <t>2 μm</t>
    <phoneticPr fontId="1" type="noConversion"/>
  </si>
  <si>
    <t xml:space="preserve"> PET</t>
    <phoneticPr fontId="1" type="noConversion"/>
  </si>
  <si>
    <t>Male</t>
    <phoneticPr fontId="1" type="noConversion"/>
  </si>
  <si>
    <t>TG Content</t>
    <phoneticPr fontId="1" type="noConversion"/>
  </si>
  <si>
    <t>D-Glucose content</t>
    <phoneticPr fontId="1" type="noConversion"/>
  </si>
  <si>
    <t xml:space="preserve">Protein Content </t>
    <phoneticPr fontId="1" type="noConversion"/>
  </si>
  <si>
    <t xml:space="preserve">20 day </t>
    <phoneticPr fontId="1" type="noConversion"/>
  </si>
  <si>
    <t>22 day</t>
  </si>
  <si>
    <t>20 day</t>
    <phoneticPr fontId="1" type="noConversion"/>
  </si>
  <si>
    <t>23 day</t>
  </si>
  <si>
    <t>24 day</t>
  </si>
  <si>
    <t>25 day</t>
  </si>
  <si>
    <t>6 day</t>
    <phoneticPr fontId="1" type="noConversion"/>
  </si>
  <si>
    <t>Turkey</t>
  </si>
  <si>
    <t>Adverse biological effects of ingested polystyrene microplastics using Drosophila melanogaster as a model in vivo organism</t>
    <phoneticPr fontId="1" type="noConversion"/>
  </si>
  <si>
    <t>Microplastic</t>
    <phoneticPr fontId="1" type="noConversion"/>
  </si>
  <si>
    <t xml:space="preserve">Polystyrene </t>
    <phoneticPr fontId="1" type="noConversion"/>
  </si>
  <si>
    <t>4 µm</t>
    <phoneticPr fontId="1" type="noConversion"/>
  </si>
  <si>
    <t>10 µm</t>
    <phoneticPr fontId="1" type="noConversion"/>
  </si>
  <si>
    <t>20 µm</t>
    <phoneticPr fontId="1" type="noConversion"/>
  </si>
  <si>
    <t>Larvae</t>
    <phoneticPr fontId="1" type="noConversion"/>
  </si>
  <si>
    <t>-</t>
    <phoneticPr fontId="1" type="noConversion"/>
  </si>
  <si>
    <t>96 h</t>
    <phoneticPr fontId="1" type="noConversion"/>
  </si>
  <si>
    <t>Body weight</t>
    <phoneticPr fontId="1" type="noConversion"/>
  </si>
  <si>
    <t>Drosophila melanogaster</t>
    <phoneticPr fontId="1" type="noConversion"/>
  </si>
  <si>
    <t>Turkey</t>
    <phoneticPr fontId="1" type="noConversion"/>
  </si>
  <si>
    <t>Growth</t>
    <phoneticPr fontId="1" type="noConversion"/>
  </si>
  <si>
    <t xml:space="preserve">Climbing Activity </t>
    <phoneticPr fontId="1" type="noConversion"/>
  </si>
  <si>
    <t>Adult</t>
    <phoneticPr fontId="1" type="noConversion"/>
  </si>
  <si>
    <t xml:space="preserve"> Ingestion and effects of polystyrene nanoparticles in the silkworm Bombyx mori</t>
    <phoneticPr fontId="1" type="noConversion"/>
  </si>
  <si>
    <t>Bombyx mori</t>
  </si>
  <si>
    <t xml:space="preserve">Nanoplastic </t>
    <phoneticPr fontId="1" type="noConversion"/>
  </si>
  <si>
    <t xml:space="preserve"> Polystyrene</t>
    <phoneticPr fontId="1" type="noConversion"/>
  </si>
  <si>
    <t xml:space="preserve">Italy </t>
    <phoneticPr fontId="1" type="noConversion"/>
  </si>
  <si>
    <t>0.4–0.6 μm</t>
  </si>
  <si>
    <t>10 day</t>
    <phoneticPr fontId="1" type="noConversion"/>
  </si>
  <si>
    <t>larvae</t>
    <phoneticPr fontId="1" type="noConversion"/>
  </si>
  <si>
    <t xml:space="preserve">Behaviour </t>
    <phoneticPr fontId="1" type="noConversion"/>
  </si>
  <si>
    <t>0.25 mg/0.5 g diet</t>
  </si>
  <si>
    <t>B+A40:D40ombyx mori</t>
    <phoneticPr fontId="1" type="noConversion"/>
  </si>
  <si>
    <t>21 day</t>
    <phoneticPr fontId="1" type="noConversion"/>
  </si>
  <si>
    <t>ROS</t>
    <phoneticPr fontId="1" type="noConversion"/>
  </si>
  <si>
    <t>CAT</t>
    <phoneticPr fontId="1" type="noConversion"/>
  </si>
  <si>
    <t>SOD</t>
    <phoneticPr fontId="1" type="noConversion"/>
  </si>
  <si>
    <t>GST</t>
    <phoneticPr fontId="1" type="noConversion"/>
  </si>
  <si>
    <t>LPO</t>
    <phoneticPr fontId="1" type="noConversion"/>
  </si>
  <si>
    <t>B+A40:D41ombyx mori</t>
  </si>
  <si>
    <t>B+A40:D42ombyx mori</t>
  </si>
  <si>
    <t>B+A40:D43ombyx mori</t>
  </si>
  <si>
    <t>B+A40:D44ombyx mori</t>
  </si>
  <si>
    <t>Cocoon</t>
  </si>
  <si>
    <t>Lepidostoma basale</t>
  </si>
  <si>
    <t>Germany</t>
  </si>
  <si>
    <t>200 - 500 μm</t>
  </si>
  <si>
    <t>PET</t>
  </si>
  <si>
    <t>PVC</t>
  </si>
  <si>
    <t>24 h</t>
  </si>
  <si>
    <t>-</t>
  </si>
  <si>
    <t>Interior Width</t>
  </si>
  <si>
    <t>Case Length</t>
  </si>
  <si>
    <t>Argentina</t>
  </si>
  <si>
    <t>Effect of Realistic Microplastic Exposure on Growth and Development of Wild-caught Culex (Diptera: Culicidae) Mosquitoe</t>
    <phoneticPr fontId="1" type="noConversion"/>
  </si>
  <si>
    <t>Canada</t>
    <phoneticPr fontId="1" type="noConversion"/>
  </si>
  <si>
    <t>Microplastic</t>
    <phoneticPr fontId="1" type="noConversion"/>
  </si>
  <si>
    <t>4.8–5.8 μm</t>
  </si>
  <si>
    <t>Polystyrene</t>
    <phoneticPr fontId="1" type="noConversion"/>
  </si>
  <si>
    <t>20000 Particles/mL</t>
    <phoneticPr fontId="1" type="noConversion"/>
  </si>
  <si>
    <t>200 Particles/ mL</t>
    <phoneticPr fontId="1" type="noConversion"/>
  </si>
  <si>
    <t>Wing length</t>
    <phoneticPr fontId="1" type="noConversion"/>
  </si>
  <si>
    <t>Adult</t>
    <phoneticPr fontId="1" type="noConversion"/>
  </si>
  <si>
    <t>Female</t>
    <phoneticPr fontId="1" type="noConversion"/>
  </si>
  <si>
    <t xml:space="preserve">Male </t>
    <phoneticPr fontId="1" type="noConversion"/>
  </si>
  <si>
    <r>
      <t>Culex pipiens</t>
    </r>
    <r>
      <rPr>
        <sz val="11"/>
        <color rgb="FF2A2A2A"/>
        <rFont val="Arial"/>
        <family val="2"/>
      </rPr>
      <t> </t>
    </r>
  </si>
  <si>
    <t>Culex tarsalis</t>
  </si>
  <si>
    <t>1 day</t>
    <phoneticPr fontId="1" type="noConversion"/>
  </si>
  <si>
    <t>Development</t>
    <phoneticPr fontId="1" type="noConversion"/>
  </si>
  <si>
    <t>-</t>
    <phoneticPr fontId="1" type="noConversion"/>
  </si>
  <si>
    <t>Egg</t>
    <phoneticPr fontId="1" type="noConversion"/>
  </si>
  <si>
    <t>Pupae</t>
    <phoneticPr fontId="1" type="noConversion"/>
  </si>
  <si>
    <t xml:space="preserve">Development time </t>
    <phoneticPr fontId="1" type="noConversion"/>
  </si>
  <si>
    <r>
      <t>Culex pipiens</t>
    </r>
    <r>
      <rPr>
        <sz val="11"/>
        <color rgb="FF2A2A2A"/>
        <rFont val="Arial"/>
        <family val="2"/>
      </rPr>
      <t> </t>
    </r>
    <phoneticPr fontId="1" type="noConversion"/>
  </si>
  <si>
    <t>Growth</t>
    <phoneticPr fontId="1" type="noConversion"/>
  </si>
  <si>
    <t>4.8–5.8 μm</t>
    <phoneticPr fontId="1" type="noConversion"/>
  </si>
  <si>
    <t>Culex tarsalis</t>
    <phoneticPr fontId="1" type="noConversion"/>
  </si>
  <si>
    <t>Growth Rate</t>
    <phoneticPr fontId="1" type="noConversion"/>
  </si>
  <si>
    <t>Combined effects of polyethylene microplastics and natural stressors on Chironomus riparius life-history traits</t>
    <phoneticPr fontId="1" type="noConversion"/>
  </si>
  <si>
    <t xml:space="preserve"> Polyethylene</t>
    <phoneticPr fontId="1" type="noConversion"/>
  </si>
  <si>
    <t> Portugal</t>
  </si>
  <si>
    <t>40–48 μm</t>
    <phoneticPr fontId="1" type="noConversion"/>
  </si>
  <si>
    <t>2.5 g/kg</t>
  </si>
  <si>
    <t xml:space="preserve">Emerging time </t>
    <phoneticPr fontId="1" type="noConversion"/>
  </si>
  <si>
    <t>Chironomus riparius</t>
    <phoneticPr fontId="1" type="noConversion"/>
  </si>
  <si>
    <t> Portugal</t>
    <phoneticPr fontId="1" type="noConversion"/>
  </si>
  <si>
    <t>Larvae</t>
    <phoneticPr fontId="1" type="noConversion"/>
  </si>
  <si>
    <t>10 day</t>
    <phoneticPr fontId="1" type="noConversion"/>
  </si>
  <si>
    <t>2.5 g/kg</t>
    <phoneticPr fontId="1" type="noConversion"/>
  </si>
  <si>
    <t>40–48 μm</t>
    <phoneticPr fontId="1" type="noConversion"/>
  </si>
  <si>
    <t>Body length</t>
    <phoneticPr fontId="1" type="noConversion"/>
  </si>
  <si>
    <t>Polyethylene microplastics and substrate availability can affect emergence responses of the freshwater insect Chironomus sancticaroli</t>
    <phoneticPr fontId="1" type="noConversion"/>
  </si>
  <si>
    <t>Chironomus sancticaroli</t>
  </si>
  <si>
    <t>Polyethylene</t>
  </si>
  <si>
    <t>40–48 µm</t>
  </si>
  <si>
    <t>Brazil</t>
    <phoneticPr fontId="1" type="noConversion"/>
  </si>
  <si>
    <t>20 mg/ L</t>
    <phoneticPr fontId="1" type="noConversion"/>
  </si>
  <si>
    <t>40 mg/ L</t>
    <phoneticPr fontId="1" type="noConversion"/>
  </si>
  <si>
    <t>60 mg/ L</t>
    <phoneticPr fontId="1" type="noConversion"/>
  </si>
  <si>
    <t>120 mg/ L</t>
    <phoneticPr fontId="1" type="noConversion"/>
  </si>
  <si>
    <t>320 mg/ L</t>
    <phoneticPr fontId="1" type="noConversion"/>
  </si>
  <si>
    <t>Adult</t>
    <phoneticPr fontId="1" type="noConversion"/>
  </si>
  <si>
    <t>Female</t>
    <phoneticPr fontId="1" type="noConversion"/>
  </si>
  <si>
    <t>15 day</t>
    <phoneticPr fontId="1" type="noConversion"/>
  </si>
  <si>
    <t xml:space="preserve">Right wing </t>
    <phoneticPr fontId="1" type="noConversion"/>
  </si>
  <si>
    <t>Left wing</t>
    <phoneticPr fontId="1" type="noConversion"/>
  </si>
  <si>
    <t>Growth</t>
    <phoneticPr fontId="1" type="noConversion"/>
  </si>
  <si>
    <t>Chironomus sancticaroli</t>
    <phoneticPr fontId="1" type="noConversion"/>
  </si>
  <si>
    <t>15 day</t>
    <phoneticPr fontId="1" type="noConversion"/>
  </si>
  <si>
    <t>20 mg/ L</t>
    <phoneticPr fontId="1" type="noConversion"/>
  </si>
  <si>
    <t>40–48 µm</t>
    <phoneticPr fontId="1" type="noConversion"/>
  </si>
  <si>
    <t>Polyethylene</t>
    <phoneticPr fontId="1" type="noConversion"/>
  </si>
  <si>
    <t>40 mg/ L</t>
    <phoneticPr fontId="1" type="noConversion"/>
  </si>
  <si>
    <t>60 mg/ L</t>
    <phoneticPr fontId="1" type="noConversion"/>
  </si>
  <si>
    <t>120 mg/ L</t>
    <phoneticPr fontId="1" type="noConversion"/>
  </si>
  <si>
    <t>320 mg/ L</t>
    <phoneticPr fontId="1" type="noConversion"/>
  </si>
  <si>
    <t>Number of egg</t>
    <phoneticPr fontId="1" type="noConversion"/>
  </si>
  <si>
    <t>Altered gene expression in Chironomus riparius (insecta) in response to tire rubber and polystyrene microplastics</t>
    <phoneticPr fontId="1" type="noConversion"/>
  </si>
  <si>
    <t>Microplastic</t>
    <phoneticPr fontId="1" type="noConversion"/>
  </si>
  <si>
    <t>40–48 µm</t>
    <phoneticPr fontId="1" type="noConversion"/>
  </si>
  <si>
    <t>38.9 µm</t>
    <phoneticPr fontId="1" type="noConversion"/>
  </si>
  <si>
    <t>1 mg/ L</t>
    <phoneticPr fontId="1" type="noConversion"/>
  </si>
  <si>
    <t>10 mg/ L</t>
    <phoneticPr fontId="1" type="noConversion"/>
  </si>
  <si>
    <t>Larvae</t>
    <phoneticPr fontId="1" type="noConversion"/>
  </si>
  <si>
    <t>-</t>
    <phoneticPr fontId="1" type="noConversion"/>
  </si>
  <si>
    <t>Finland</t>
    <phoneticPr fontId="1" type="noConversion"/>
  </si>
  <si>
    <t>36 h</t>
    <phoneticPr fontId="1" type="noConversion"/>
  </si>
  <si>
    <t>Estonia</t>
  </si>
  <si>
    <t>Evaluation of the potential toxicity of UV-weathered virgin polyamide microplastics to non-biting midge Chironomus riparius</t>
    <phoneticPr fontId="1" type="noConversion"/>
  </si>
  <si>
    <t>Polyamide</t>
    <phoneticPr fontId="1" type="noConversion"/>
  </si>
  <si>
    <t xml:space="preserve">1000 mg/ Kg </t>
    <phoneticPr fontId="1" type="noConversion"/>
  </si>
  <si>
    <t>1000 mg/ Kg</t>
    <phoneticPr fontId="1" type="noConversion"/>
  </si>
  <si>
    <t>180 μm</t>
  </si>
  <si>
    <t>23 day</t>
    <phoneticPr fontId="1" type="noConversion"/>
  </si>
  <si>
    <t>Transgenerational effects on development following microplastic exposure in Drosophila melanogaster</t>
    <phoneticPr fontId="1" type="noConversion"/>
  </si>
  <si>
    <t>-</t>
    <phoneticPr fontId="1" type="noConversion"/>
  </si>
  <si>
    <t>Larvae</t>
    <phoneticPr fontId="1" type="noConversion"/>
  </si>
  <si>
    <t>8 day</t>
    <phoneticPr fontId="1" type="noConversion"/>
  </si>
  <si>
    <t>Transgenerational effects on development following microplastic exposure in Drosophila melanogaster</t>
    <phoneticPr fontId="1" type="noConversion"/>
  </si>
  <si>
    <t>Drosophila melanogaster</t>
    <phoneticPr fontId="1" type="noConversion"/>
  </si>
  <si>
    <t>United Kingdom</t>
    <phoneticPr fontId="1" type="noConversion"/>
  </si>
  <si>
    <t>Microplastic</t>
    <phoneticPr fontId="1" type="noConversion"/>
  </si>
  <si>
    <t>Development</t>
    <phoneticPr fontId="1" type="noConversion"/>
  </si>
  <si>
    <t>125–250 µm</t>
    <phoneticPr fontId="1" type="noConversion"/>
  </si>
  <si>
    <t>Polyethylene </t>
    <phoneticPr fontId="1" type="noConversion"/>
  </si>
  <si>
    <t>Polyvinyl Chloride</t>
    <phoneticPr fontId="1" type="noConversion"/>
  </si>
  <si>
    <t>Pupae</t>
    <phoneticPr fontId="1" type="noConversion"/>
  </si>
  <si>
    <t>Growth</t>
    <phoneticPr fontId="1" type="noConversion"/>
  </si>
  <si>
    <t>Adult</t>
    <phoneticPr fontId="1" type="noConversion"/>
  </si>
  <si>
    <t>Female</t>
    <phoneticPr fontId="1" type="noConversion"/>
  </si>
  <si>
    <t xml:space="preserve">Male </t>
    <phoneticPr fontId="1" type="noConversion"/>
  </si>
  <si>
    <t>Wing Size</t>
    <phoneticPr fontId="1" type="noConversion"/>
  </si>
  <si>
    <t xml:space="preserve">United Kingdom </t>
    <phoneticPr fontId="1" type="noConversion"/>
  </si>
  <si>
    <t>USA</t>
    <phoneticPr fontId="1" type="noConversion"/>
  </si>
  <si>
    <t>Microplastics affected black soldier fly (Hermetia illucens) pupation and short chain fatty acids</t>
    <phoneticPr fontId="1" type="noConversion"/>
  </si>
  <si>
    <t>Hermetia illucens</t>
  </si>
  <si>
    <t> 58 µm</t>
    <phoneticPr fontId="1" type="noConversion"/>
  </si>
  <si>
    <t>Polypropylene</t>
    <phoneticPr fontId="1" type="noConversion"/>
  </si>
  <si>
    <t xml:space="preserve">Stage Duration </t>
    <phoneticPr fontId="1" type="noConversion"/>
  </si>
  <si>
    <t xml:space="preserve">Total Offspring </t>
    <phoneticPr fontId="1" type="noConversion"/>
  </si>
  <si>
    <t>0.022 g/kg</t>
  </si>
  <si>
    <t>14 day</t>
    <phoneticPr fontId="1" type="noConversion"/>
  </si>
  <si>
    <t>Hermetia illucens</t>
    <phoneticPr fontId="1" type="noConversion"/>
  </si>
  <si>
    <t>0.022 g/kg</t>
    <phoneticPr fontId="1" type="noConversion"/>
  </si>
  <si>
    <t xml:space="preserve">Pupae emerged </t>
    <phoneticPr fontId="1" type="noConversion"/>
  </si>
  <si>
    <t>Pre-Pupae</t>
    <phoneticPr fontId="1" type="noConversion"/>
  </si>
  <si>
    <t>Body length</t>
    <phoneticPr fontId="1" type="noConversion"/>
  </si>
  <si>
    <t>Body weight</t>
    <phoneticPr fontId="1" type="noConversion"/>
  </si>
  <si>
    <t>Propionic </t>
    <phoneticPr fontId="1" type="noConversion"/>
  </si>
  <si>
    <t>Caprylic</t>
    <phoneticPr fontId="1" type="noConversion"/>
  </si>
  <si>
    <t>Myristoleic </t>
    <phoneticPr fontId="1" type="noConversion"/>
  </si>
  <si>
    <t>Pentadecylic acid (</t>
    <phoneticPr fontId="1" type="noConversion"/>
  </si>
  <si>
    <t>Oleic </t>
    <phoneticPr fontId="1" type="noConversion"/>
  </si>
  <si>
    <t>Arachidic</t>
    <phoneticPr fontId="1" type="noConversion"/>
  </si>
  <si>
    <t>Docosadienoic</t>
    <phoneticPr fontId="1" type="noConversion"/>
  </si>
  <si>
    <t>Docosahexaenoic acid</t>
  </si>
  <si>
    <t>Nervonic</t>
  </si>
  <si>
    <t>Ingestion of small-sized and irregularly shaped polyethylene microplastics affect Chironomus riparius life-history traits</t>
    <phoneticPr fontId="1" type="noConversion"/>
  </si>
  <si>
    <t xml:space="preserve"> Polyethylene</t>
    <phoneticPr fontId="1" type="noConversion"/>
  </si>
  <si>
    <t>Microplastic</t>
    <phoneticPr fontId="1" type="noConversion"/>
  </si>
  <si>
    <t xml:space="preserve"> Chironomus riparius</t>
  </si>
  <si>
    <t>Growth</t>
    <phoneticPr fontId="1" type="noConversion"/>
  </si>
  <si>
    <t>Larvae</t>
    <phoneticPr fontId="1" type="noConversion"/>
  </si>
  <si>
    <t>-</t>
    <phoneticPr fontId="1" type="noConversion"/>
  </si>
  <si>
    <t>1.25 g/ Kg</t>
    <phoneticPr fontId="1" type="noConversion"/>
  </si>
  <si>
    <t>2.50 g/ Kg</t>
    <phoneticPr fontId="1" type="noConversion"/>
  </si>
  <si>
    <t>5 g/ Kg</t>
    <phoneticPr fontId="1" type="noConversion"/>
  </si>
  <si>
    <t>10 g/ Kg</t>
    <phoneticPr fontId="1" type="noConversion"/>
  </si>
  <si>
    <t>20 g/ Kg</t>
    <phoneticPr fontId="1" type="noConversion"/>
  </si>
  <si>
    <t>32–63 μm</t>
  </si>
  <si>
    <t>63–250 μm</t>
  </si>
  <si>
    <t>125–500 μm</t>
  </si>
  <si>
    <t>Body length</t>
    <phoneticPr fontId="1" type="noConversion"/>
  </si>
  <si>
    <t>Microplastic ingestion perturbs the microbiome of Aedes albopictus and Aedes aegypti</t>
    <phoneticPr fontId="1" type="noConversion"/>
  </si>
  <si>
    <t>Aedes aegypti</t>
  </si>
  <si>
    <t>USA</t>
    <phoneticPr fontId="1" type="noConversion"/>
  </si>
  <si>
    <t>Polystyrene</t>
    <phoneticPr fontId="1" type="noConversion"/>
  </si>
  <si>
    <t>1 µm</t>
    <phoneticPr fontId="1" type="noConversion"/>
  </si>
  <si>
    <t>100 MP/ mL</t>
    <phoneticPr fontId="1" type="noConversion"/>
  </si>
  <si>
    <t xml:space="preserve">10000 MP/mL </t>
    <phoneticPr fontId="1" type="noConversion"/>
  </si>
  <si>
    <t>100000 MP/ mL</t>
    <phoneticPr fontId="1" type="noConversion"/>
  </si>
  <si>
    <t>Aedes albopictus</t>
  </si>
  <si>
    <t>Health</t>
    <phoneticPr fontId="1" type="noConversion"/>
  </si>
  <si>
    <t>Health</t>
    <phoneticPr fontId="1" type="noConversion"/>
  </si>
  <si>
    <t>5 day</t>
  </si>
  <si>
    <t>5 day</t>
    <phoneticPr fontId="1" type="noConversion"/>
  </si>
  <si>
    <t>Adult</t>
    <phoneticPr fontId="1" type="noConversion"/>
  </si>
  <si>
    <t xml:space="preserve">Adult Emerged </t>
    <phoneticPr fontId="1" type="noConversion"/>
  </si>
  <si>
    <t>5 day</t>
    <phoneticPr fontId="1" type="noConversion"/>
  </si>
  <si>
    <t xml:space="preserve">Male </t>
    <phoneticPr fontId="1" type="noConversion"/>
  </si>
  <si>
    <t xml:space="preserve">Shan Diversity </t>
    <phoneticPr fontId="1" type="noConversion"/>
  </si>
  <si>
    <t>Aedes albopictus</t>
    <phoneticPr fontId="1" type="noConversion"/>
  </si>
  <si>
    <t>1 µm</t>
    <phoneticPr fontId="1" type="noConversion"/>
  </si>
  <si>
    <t>Aedes aegypti</t>
    <phoneticPr fontId="1" type="noConversion"/>
  </si>
  <si>
    <t xml:space="preserve">Simphson Diversity </t>
    <phoneticPr fontId="1" type="noConversion"/>
  </si>
  <si>
    <t xml:space="preserve">Bactera diversity </t>
    <phoneticPr fontId="1" type="noConversion"/>
  </si>
  <si>
    <t xml:space="preserve">Fungal Diversity </t>
    <phoneticPr fontId="1" type="noConversion"/>
  </si>
  <si>
    <t>Culex pipien</t>
  </si>
  <si>
    <t>Female</t>
    <phoneticPr fontId="1" type="noConversion"/>
  </si>
  <si>
    <r>
      <t>100</t>
    </r>
    <r>
      <rPr>
        <sz val="12"/>
        <color rgb="FF1F1F1F"/>
        <rFont val="Times New Roman"/>
        <family val="1"/>
      </rPr>
      <t> </t>
    </r>
    <r>
      <rPr>
        <sz val="12"/>
        <color rgb="FF1F1F1F"/>
        <rFont val="Georgia"/>
        <family val="1"/>
      </rPr>
      <t>particles/ mL</t>
    </r>
    <phoneticPr fontId="1" type="noConversion"/>
  </si>
  <si>
    <t>2 μm</t>
  </si>
  <si>
    <t>3 day</t>
    <phoneticPr fontId="1" type="noConversion"/>
  </si>
  <si>
    <t> Number of egg </t>
  </si>
  <si>
    <t>Chronic Exposure to Polystyrene Microplastic Fragments Has No Effect on Honey Bee Survival, but Reduces Feeding Rate and Body Weight</t>
    <phoneticPr fontId="1" type="noConversion"/>
  </si>
  <si>
    <t>Honey Bee</t>
  </si>
  <si>
    <t>Germany</t>
    <phoneticPr fontId="1" type="noConversion"/>
  </si>
  <si>
    <t>1 µg /mL</t>
    <phoneticPr fontId="1" type="noConversion"/>
  </si>
  <si>
    <t>10 µg /mL</t>
    <phoneticPr fontId="1" type="noConversion"/>
  </si>
  <si>
    <t>100 µg /mL</t>
    <phoneticPr fontId="1" type="noConversion"/>
  </si>
  <si>
    <t xml:space="preserve">14 day </t>
    <phoneticPr fontId="1" type="noConversion"/>
  </si>
  <si>
    <t>(27 ± 17 μm</t>
  </si>
  <si>
    <t>(93 ± 25 μm</t>
  </si>
  <si>
    <t xml:space="preserve">Small size Plastic </t>
    <phoneticPr fontId="1" type="noConversion"/>
  </si>
  <si>
    <t xml:space="preserve">Large size Plastic </t>
    <phoneticPr fontId="1" type="noConversion"/>
  </si>
  <si>
    <t>Feeding</t>
    <phoneticPr fontId="1" type="noConversion"/>
  </si>
  <si>
    <t>Microplastic Polystyrene Ingestion Promotes the Susceptibility of Honeybee to Viral Infection</t>
    <phoneticPr fontId="1" type="noConversion"/>
  </si>
  <si>
    <t xml:space="preserve">Polystyrene </t>
  </si>
  <si>
    <t>A. mellifera</t>
  </si>
  <si>
    <t>100 mg/L</t>
  </si>
  <si>
    <t>0.5 μm</t>
    <phoneticPr fontId="1" type="noConversion"/>
  </si>
  <si>
    <t>5 μm</t>
    <phoneticPr fontId="1" type="noConversion"/>
  </si>
  <si>
    <t>50 μm</t>
    <phoneticPr fontId="1" type="noConversion"/>
  </si>
  <si>
    <t>10mg/L</t>
    <phoneticPr fontId="1" type="noConversion"/>
  </si>
  <si>
    <t>21 day</t>
    <phoneticPr fontId="1" type="noConversion"/>
  </si>
  <si>
    <t>Mortality</t>
    <phoneticPr fontId="1" type="noConversion"/>
  </si>
  <si>
    <t xml:space="preserve">Survival </t>
    <phoneticPr fontId="1" type="noConversion"/>
  </si>
  <si>
    <t xml:space="preserve">Adult </t>
    <phoneticPr fontId="1" type="noConversion"/>
  </si>
  <si>
    <t>Ontogenetic Transfer of Microplastics in Bloodsucking Mosquitoes Aedes aegypti L. (Diptera: Culicidae) Is a Potential Pathway for Particle Distribution in the Environment</t>
    <phoneticPr fontId="1" type="noConversion"/>
  </si>
  <si>
    <t>Russia</t>
  </si>
  <si>
    <t>2.0 ± 0.2 μm</t>
  </si>
  <si>
    <t> Polystyrene</t>
    <phoneticPr fontId="1" type="noConversion"/>
  </si>
  <si>
    <r>
      <t>8.0 × 10</t>
    </r>
    <r>
      <rPr>
        <sz val="7.5"/>
        <color rgb="FF222222"/>
        <rFont val="Arial"/>
        <family val="2"/>
      </rPr>
      <t>6</t>
    </r>
    <r>
      <rPr>
        <sz val="10"/>
        <color rgb="FF222222"/>
        <rFont val="Arial"/>
        <family val="2"/>
      </rPr>
      <t> items/mL</t>
    </r>
    <phoneticPr fontId="1" type="noConversion"/>
  </si>
  <si>
    <t>7 day</t>
    <phoneticPr fontId="1" type="noConversion"/>
  </si>
  <si>
    <t>Microplastics incorporated by honeybees from food are transferred to honey, wax and larvae</t>
    <phoneticPr fontId="1" type="noConversion"/>
  </si>
  <si>
    <t>Honeybees</t>
    <phoneticPr fontId="1" type="noConversion"/>
  </si>
  <si>
    <t>polyester</t>
  </si>
  <si>
    <t>50 mg MP/</t>
  </si>
  <si>
    <t>0.39 mm</t>
    <phoneticPr fontId="1" type="noConversion"/>
  </si>
  <si>
    <t>30 day</t>
    <phoneticPr fontId="1" type="noConversion"/>
  </si>
  <si>
    <t>Brood</t>
    <phoneticPr fontId="1" type="noConversion"/>
  </si>
  <si>
    <t>-</t>
    <phoneticPr fontId="1" type="noConversion"/>
  </si>
  <si>
    <t>Frame cover adult</t>
    <phoneticPr fontId="1" type="noConversion"/>
  </si>
  <si>
    <t xml:space="preserve">Frame Number used </t>
    <phoneticPr fontId="1" type="noConversion"/>
  </si>
  <si>
    <t>Argentina</t>
    <phoneticPr fontId="1" type="noConversion"/>
  </si>
  <si>
    <t>30 day</t>
    <phoneticPr fontId="1" type="noConversion"/>
  </si>
  <si>
    <t>50 mg MP/</t>
    <phoneticPr fontId="1" type="noConversion"/>
  </si>
  <si>
    <t>0.39 mm</t>
    <phoneticPr fontId="1" type="noConversion"/>
  </si>
  <si>
    <t>polyester</t>
    <phoneticPr fontId="1" type="noConversion"/>
  </si>
  <si>
    <t>Brood Area</t>
    <phoneticPr fontId="1" type="noConversion"/>
  </si>
  <si>
    <t xml:space="preserve">Honey Area </t>
    <phoneticPr fontId="1" type="noConversion"/>
  </si>
  <si>
    <t>Unveiling the residual plastics and produced toxicity during biodegradation of polyethylene (PE), polystyrene (PS), and polyvinyl chloride (PVC) microplastics by mealworms (Larvae of Tenebrio molitor)</t>
    <phoneticPr fontId="1" type="noConversion"/>
  </si>
  <si>
    <t>Tenebrio molitor</t>
  </si>
  <si>
    <t xml:space="preserve">China </t>
    <phoneticPr fontId="1" type="noConversion"/>
  </si>
  <si>
    <t xml:space="preserve"> Polyethylene </t>
    <phoneticPr fontId="1" type="noConversion"/>
  </si>
  <si>
    <t>Polystyrene</t>
    <phoneticPr fontId="1" type="noConversion"/>
  </si>
  <si>
    <t>Polyvinyl chloride</t>
    <phoneticPr fontId="1" type="noConversion"/>
  </si>
  <si>
    <t>300 µm</t>
  </si>
  <si>
    <t>Larvae</t>
    <phoneticPr fontId="1" type="noConversion"/>
  </si>
  <si>
    <t>20 day</t>
    <phoneticPr fontId="1" type="noConversion"/>
  </si>
  <si>
    <t>25 day</t>
    <phoneticPr fontId="1" type="noConversion"/>
  </si>
  <si>
    <t>Growth</t>
    <phoneticPr fontId="1" type="noConversion"/>
  </si>
  <si>
    <t>3.0 g</t>
  </si>
  <si>
    <t>MDA</t>
    <phoneticPr fontId="1" type="noConversion"/>
  </si>
  <si>
    <t>Unveiling the residual plastics and produced toxicity during biodegradation of polyethylene (PE), polystyrene (PS), and polyvinyl chloride (PVC) microplastics by mealworms (Larvae of Tenebrio molitor)</t>
    <phoneticPr fontId="1" type="noConversion"/>
  </si>
  <si>
    <t>Tenebrio molitor</t>
    <phoneticPr fontId="1" type="noConversion"/>
  </si>
  <si>
    <t xml:space="preserve">China </t>
    <phoneticPr fontId="1" type="noConversion"/>
  </si>
  <si>
    <t>25 day</t>
    <phoneticPr fontId="1" type="noConversion"/>
  </si>
  <si>
    <t>3.0 g</t>
    <phoneticPr fontId="1" type="noConversion"/>
  </si>
  <si>
    <t>300 µm</t>
    <phoneticPr fontId="1" type="noConversion"/>
  </si>
  <si>
    <t xml:space="preserve"> Polyethylene </t>
    <phoneticPr fontId="1" type="noConversion"/>
  </si>
  <si>
    <t>Polyvinyl chloride</t>
    <phoneticPr fontId="1" type="noConversion"/>
  </si>
  <si>
    <t>Body weight</t>
    <phoneticPr fontId="1" type="noConversion"/>
  </si>
  <si>
    <t>The hazardous impact of true-to-life PET nanoplastics in Drosophila</t>
    <phoneticPr fontId="1" type="noConversion"/>
  </si>
  <si>
    <t xml:space="preserve">Nanoplastic </t>
    <phoneticPr fontId="1" type="noConversion"/>
  </si>
  <si>
    <t>Spain</t>
  </si>
  <si>
    <t>42 nm </t>
    <phoneticPr fontId="1" type="noConversion"/>
  </si>
  <si>
    <t>Polyethylene terephthalate </t>
    <phoneticPr fontId="1" type="noConversion"/>
  </si>
  <si>
    <t>4 μg/g of food</t>
    <phoneticPr fontId="1" type="noConversion"/>
  </si>
  <si>
    <t>20 μg/g of food</t>
    <phoneticPr fontId="1" type="noConversion"/>
  </si>
  <si>
    <t>100 μg/g of food</t>
    <phoneticPr fontId="1" type="noConversion"/>
  </si>
  <si>
    <t>500 μg/g of food</t>
    <phoneticPr fontId="1" type="noConversion"/>
  </si>
  <si>
    <t>5 day</t>
    <phoneticPr fontId="1" type="noConversion"/>
  </si>
  <si>
    <t>Drosophila melanogaster</t>
    <phoneticPr fontId="1" type="noConversion"/>
  </si>
  <si>
    <t>Spain</t>
    <phoneticPr fontId="1" type="noConversion"/>
  </si>
  <si>
    <t xml:space="preserve">Adult </t>
    <phoneticPr fontId="1" type="noConversion"/>
  </si>
  <si>
    <t>Health</t>
    <phoneticPr fontId="1" type="noConversion"/>
  </si>
  <si>
    <t>ROS</t>
    <phoneticPr fontId="1" type="noConversion"/>
  </si>
  <si>
    <t>Toxic effects of acute exposure to polystyrene microplastics and nanoplastics on the model insect, silkworm Bombyx mori</t>
    <phoneticPr fontId="1" type="noConversion"/>
  </si>
  <si>
    <t xml:space="preserve"> Polystyrene</t>
    <phoneticPr fontId="1" type="noConversion"/>
  </si>
  <si>
    <t>5–5.9 μm</t>
  </si>
  <si>
    <t>50–100 nm</t>
  </si>
  <si>
    <t>10 μg/mL</t>
  </si>
  <si>
    <t xml:space="preserve">Ceropine A </t>
    <phoneticPr fontId="1" type="noConversion"/>
  </si>
  <si>
    <t xml:space="preserve">Lysozyme </t>
    <phoneticPr fontId="1" type="noConversion"/>
  </si>
  <si>
    <t>Attacin</t>
    <phoneticPr fontId="1" type="noConversion"/>
  </si>
  <si>
    <t>CAT</t>
    <phoneticPr fontId="1" type="noConversion"/>
  </si>
  <si>
    <t>SOD</t>
    <phoneticPr fontId="1" type="noConversion"/>
  </si>
  <si>
    <t>Gene Expression</t>
    <phoneticPr fontId="1" type="noConversion"/>
  </si>
  <si>
    <t> 72 h </t>
  </si>
  <si>
    <t>Apis mellifera</t>
  </si>
  <si>
    <t>25 μm</t>
    <phoneticPr fontId="1" type="noConversion"/>
  </si>
  <si>
    <t>0.5 mg/L </t>
    <phoneticPr fontId="1" type="noConversion"/>
  </si>
  <si>
    <t>50 mg/L</t>
    <phoneticPr fontId="1" type="noConversion"/>
  </si>
  <si>
    <t>5 mg/L</t>
    <phoneticPr fontId="1" type="noConversion"/>
  </si>
  <si>
    <t>Adult</t>
    <phoneticPr fontId="1" type="noConversion"/>
  </si>
  <si>
    <t>Chao 1 Index</t>
    <phoneticPr fontId="1" type="noConversion"/>
  </si>
  <si>
    <t>Ace Index</t>
    <phoneticPr fontId="1" type="noConversion"/>
  </si>
  <si>
    <t>CAT</t>
    <phoneticPr fontId="1" type="noConversion"/>
  </si>
  <si>
    <t>Cyp Q1</t>
    <phoneticPr fontId="1" type="noConversion"/>
  </si>
  <si>
    <t>Cyp Q2</t>
  </si>
  <si>
    <t>GstD1</t>
    <phoneticPr fontId="1" type="noConversion"/>
  </si>
  <si>
    <t>GstD3</t>
  </si>
  <si>
    <t>Apidaecin</t>
    <phoneticPr fontId="1" type="noConversion"/>
  </si>
  <si>
    <t>Defensin</t>
    <phoneticPr fontId="1" type="noConversion"/>
  </si>
  <si>
    <t>Domeless</t>
    <phoneticPr fontId="1" type="noConversion"/>
  </si>
  <si>
    <t>Abaecin</t>
    <phoneticPr fontId="1" type="noConversion"/>
  </si>
  <si>
    <t>Hopscotch</t>
    <phoneticPr fontId="1" type="noConversion"/>
  </si>
  <si>
    <t>Symplekin</t>
    <phoneticPr fontId="1" type="noConversion"/>
  </si>
  <si>
    <t>Microplastic</t>
    <phoneticPr fontId="1" type="noConversion"/>
  </si>
  <si>
    <t>Sweden</t>
  </si>
  <si>
    <t>Water boatmen</t>
  </si>
  <si>
    <t>24 h</t>
    <phoneticPr fontId="1" type="noConversion"/>
  </si>
  <si>
    <t>48 h</t>
    <phoneticPr fontId="1" type="noConversion"/>
  </si>
  <si>
    <t>168 h</t>
    <phoneticPr fontId="1" type="noConversion"/>
  </si>
  <si>
    <t> Nymphs </t>
  </si>
  <si>
    <t>-</t>
    <phoneticPr fontId="1" type="noConversion"/>
  </si>
  <si>
    <t>300 µm</t>
    <phoneticPr fontId="1" type="noConversion"/>
  </si>
  <si>
    <t>1 µm</t>
    <phoneticPr fontId="1" type="noConversion"/>
  </si>
  <si>
    <t>Fluoresbrite®</t>
  </si>
  <si>
    <t>Chao</t>
    <phoneticPr fontId="1" type="noConversion"/>
  </si>
  <si>
    <t>Shannon</t>
    <phoneticPr fontId="1" type="noConversion"/>
  </si>
  <si>
    <t>PD</t>
    <phoneticPr fontId="1" type="noConversion"/>
  </si>
  <si>
    <t>China</t>
    <phoneticPr fontId="1" type="noConversion"/>
  </si>
  <si>
    <t>Photoaging of biodegradable nanoplastics regulates their toxicity to aquatic insects (Chironomus kiinensis) by impairing gut and disrupting intestinal microbiota</t>
    <phoneticPr fontId="1" type="noConversion"/>
  </si>
  <si>
    <t>Chironomus kiinensis</t>
  </si>
  <si>
    <t>Nanoplastic</t>
    <phoneticPr fontId="1" type="noConversion"/>
  </si>
  <si>
    <t>217.1 ± 3.1 nm</t>
  </si>
  <si>
    <t>182.5 ± 2.8 nm</t>
  </si>
  <si>
    <t>Polylactic acid </t>
    <phoneticPr fontId="1" type="noConversion"/>
  </si>
  <si>
    <t>Body weight</t>
    <phoneticPr fontId="1" type="noConversion"/>
  </si>
  <si>
    <t>Body length</t>
    <phoneticPr fontId="1" type="noConversion"/>
  </si>
  <si>
    <t>Emergence ratio</t>
    <phoneticPr fontId="1" type="noConversion"/>
  </si>
  <si>
    <t>Emergence ratio</t>
    <phoneticPr fontId="1" type="noConversion"/>
  </si>
  <si>
    <t>Adult</t>
    <phoneticPr fontId="1" type="noConversion"/>
  </si>
  <si>
    <t>Female</t>
    <phoneticPr fontId="1" type="noConversion"/>
  </si>
  <si>
    <t>25 day</t>
    <phoneticPr fontId="1" type="noConversion"/>
  </si>
  <si>
    <t>0.5 g/kg </t>
    <phoneticPr fontId="1" type="noConversion"/>
  </si>
  <si>
    <t>-</t>
    <phoneticPr fontId="1" type="noConversion"/>
  </si>
  <si>
    <t>Chironomus kiinensis</t>
    <phoneticPr fontId="1" type="noConversion"/>
  </si>
  <si>
    <t>0.5 g/kg </t>
    <phoneticPr fontId="1" type="noConversion"/>
  </si>
  <si>
    <t>Larvae</t>
    <phoneticPr fontId="1" type="noConversion"/>
  </si>
  <si>
    <t>Growth</t>
    <phoneticPr fontId="1" type="noConversion"/>
  </si>
  <si>
    <t>10 day</t>
    <phoneticPr fontId="1" type="noConversion"/>
  </si>
  <si>
    <t>Larvae</t>
    <phoneticPr fontId="1" type="noConversion"/>
  </si>
  <si>
    <t>-</t>
    <phoneticPr fontId="1" type="noConversion"/>
  </si>
  <si>
    <t>GSH</t>
    <phoneticPr fontId="1" type="noConversion"/>
  </si>
  <si>
    <t>DAO</t>
    <phoneticPr fontId="1" type="noConversion"/>
  </si>
  <si>
    <t>D-Lac</t>
    <phoneticPr fontId="1" type="noConversion"/>
  </si>
  <si>
    <t>Chao 2 Index</t>
  </si>
  <si>
    <t xml:space="preserve"> Polypropylene microplastics affect the physiology in Drosophila model</t>
    <phoneticPr fontId="1" type="noConversion"/>
  </si>
  <si>
    <t xml:space="preserve"> Polypropylene</t>
  </si>
  <si>
    <t>China</t>
    <phoneticPr fontId="1" type="noConversion"/>
  </si>
  <si>
    <t>Microplastic</t>
    <phoneticPr fontId="1" type="noConversion"/>
  </si>
  <si>
    <t xml:space="preserve">Behaviour </t>
    <phoneticPr fontId="1" type="noConversion"/>
  </si>
  <si>
    <t>6.5 μm</t>
  </si>
  <si>
    <t>0.1 g/L</t>
    <phoneticPr fontId="1" type="noConversion"/>
  </si>
  <si>
    <t>1 g/L</t>
    <phoneticPr fontId="1" type="noConversion"/>
  </si>
  <si>
    <t>10 g/L</t>
    <phoneticPr fontId="1" type="noConversion"/>
  </si>
  <si>
    <t>20 g/L</t>
    <phoneticPr fontId="1" type="noConversion"/>
  </si>
  <si>
    <t>Male</t>
    <phoneticPr fontId="1" type="noConversion"/>
  </si>
  <si>
    <t>Locomotory activity</t>
    <phoneticPr fontId="1" type="noConversion"/>
  </si>
  <si>
    <t xml:space="preserve">Sleep time </t>
    <phoneticPr fontId="1" type="noConversion"/>
  </si>
  <si>
    <t>24 h</t>
    <phoneticPr fontId="1" type="noConversion"/>
  </si>
  <si>
    <t>Fecundity</t>
    <phoneticPr fontId="1" type="noConversion"/>
  </si>
  <si>
    <t>Drosophila</t>
    <phoneticPr fontId="1" type="noConversion"/>
  </si>
  <si>
    <t>6.5 μm</t>
    <phoneticPr fontId="1" type="noConversion"/>
  </si>
  <si>
    <t xml:space="preserve"> Polypropylene</t>
    <phoneticPr fontId="1" type="noConversion"/>
  </si>
  <si>
    <t>20 h</t>
    <phoneticPr fontId="1" type="noConversion"/>
  </si>
  <si>
    <t>Feeding</t>
    <phoneticPr fontId="1" type="noConversion"/>
  </si>
  <si>
    <t>4 h</t>
    <phoneticPr fontId="1" type="noConversion"/>
  </si>
  <si>
    <t>Food intake</t>
    <phoneticPr fontId="1" type="noConversion"/>
  </si>
  <si>
    <t>Nanoplastics Affect the Bioaccumulation and Gut Toxicity of Emerging Perfluoroalkyl Acid Alternatives to Aquatic Insects (Chironomus kiinensis): Importance of Plastic Surface Charge</t>
    <phoneticPr fontId="1" type="noConversion"/>
  </si>
  <si>
    <t>China</t>
    <phoneticPr fontId="1" type="noConversion"/>
  </si>
  <si>
    <t>Nanoplastic</t>
    <phoneticPr fontId="1" type="noConversion"/>
  </si>
  <si>
    <t>Polystyrene </t>
  </si>
  <si>
    <t> 50 nm</t>
  </si>
  <si>
    <t>6000 ng/L</t>
  </si>
  <si>
    <t>25 day</t>
    <phoneticPr fontId="1" type="noConversion"/>
  </si>
  <si>
    <t>Chironomus kiinensis</t>
    <phoneticPr fontId="1" type="noConversion"/>
  </si>
  <si>
    <t>Development</t>
    <phoneticPr fontId="1" type="noConversion"/>
  </si>
  <si>
    <t>6000 ng/L</t>
    <phoneticPr fontId="1" type="noConversion"/>
  </si>
  <si>
    <t> 50 nm</t>
    <phoneticPr fontId="1" type="noConversion"/>
  </si>
  <si>
    <t>Polystyrene </t>
    <phoneticPr fontId="1" type="noConversion"/>
  </si>
  <si>
    <t>Emergence ratio</t>
    <phoneticPr fontId="1" type="noConversion"/>
  </si>
  <si>
    <t>Female</t>
    <phoneticPr fontId="1" type="noConversion"/>
  </si>
  <si>
    <t>Adult</t>
    <phoneticPr fontId="1" type="noConversion"/>
  </si>
  <si>
    <t xml:space="preserve">Emerging time </t>
    <phoneticPr fontId="1" type="noConversion"/>
  </si>
  <si>
    <t xml:space="preserve">Male </t>
    <phoneticPr fontId="1" type="noConversion"/>
  </si>
  <si>
    <t>Differentially Charged Nanoplastics Induce Distinct Effects on the Growth and Gut of Benthic Insects (Chironomus kiinensis) via Charge-Specific Accumulation and Perturbation of the Gut Microbiota</t>
    <phoneticPr fontId="1" type="noConversion"/>
  </si>
  <si>
    <t>0.1 g/kg</t>
  </si>
  <si>
    <t>1 g/kg</t>
    <phoneticPr fontId="1" type="noConversion"/>
  </si>
  <si>
    <t>Health</t>
    <phoneticPr fontId="1" type="noConversion"/>
  </si>
  <si>
    <t>0.1 g/kg</t>
    <phoneticPr fontId="1" type="noConversion"/>
  </si>
  <si>
    <t>GSH</t>
    <phoneticPr fontId="1" type="noConversion"/>
  </si>
  <si>
    <t>MDA</t>
    <phoneticPr fontId="1" type="noConversion"/>
  </si>
  <si>
    <t>DAO</t>
    <phoneticPr fontId="1" type="noConversion"/>
  </si>
  <si>
    <t>D-Lac</t>
    <phoneticPr fontId="1" type="noConversion"/>
  </si>
  <si>
    <t>Shannon</t>
    <phoneticPr fontId="1" type="noConversion"/>
  </si>
  <si>
    <t xml:space="preserve">Simphson Diversity </t>
    <phoneticPr fontId="1" type="noConversion"/>
  </si>
  <si>
    <t>Ingestion and effects of polystyrene nanoparticles in the silkworm Bombyx mori</t>
    <phoneticPr fontId="1" type="noConversion"/>
  </si>
  <si>
    <t>Bombyx mori</t>
    <phoneticPr fontId="1" type="noConversion"/>
  </si>
  <si>
    <t>Polystyrene</t>
    <phoneticPr fontId="1" type="noConversion"/>
  </si>
  <si>
    <t xml:space="preserve">Nanoplastic </t>
    <phoneticPr fontId="1" type="noConversion"/>
  </si>
  <si>
    <t> Italy</t>
    <phoneticPr fontId="1" type="noConversion"/>
  </si>
  <si>
    <t>0.513 μm</t>
  </si>
  <si>
    <t>10 day</t>
    <phoneticPr fontId="1" type="noConversion"/>
  </si>
  <si>
    <t>0.25 mg/0.5 g</t>
    <phoneticPr fontId="1" type="noConversion"/>
  </si>
  <si>
    <t>0.513 μm</t>
    <phoneticPr fontId="1" type="noConversion"/>
  </si>
  <si>
    <t>Larval cycle</t>
    <phoneticPr fontId="1" type="noConversion"/>
  </si>
  <si>
    <t>-</t>
    <phoneticPr fontId="1" type="noConversion"/>
  </si>
  <si>
    <t>Cocoon</t>
    <phoneticPr fontId="1" type="noConversion"/>
  </si>
  <si>
    <t>24 day</t>
    <phoneticPr fontId="1" type="noConversion"/>
  </si>
  <si>
    <t>Exposure to polystyrene microplastic beads causes sex-specific toxic effects in the model insect Drosophila melanogaster</t>
    <phoneticPr fontId="1" type="noConversion"/>
  </si>
  <si>
    <t>Polystyrene</t>
    <phoneticPr fontId="1" type="noConversion"/>
  </si>
  <si>
    <t>Microplastic</t>
    <phoneticPr fontId="1" type="noConversion"/>
  </si>
  <si>
    <t>0.005 µg/ml</t>
    <phoneticPr fontId="1" type="noConversion"/>
  </si>
  <si>
    <t>0.05 µg/ml</t>
    <phoneticPr fontId="1" type="noConversion"/>
  </si>
  <si>
    <t>0.5 µg/ml</t>
    <phoneticPr fontId="1" type="noConversion"/>
  </si>
  <si>
    <t>Adult</t>
    <phoneticPr fontId="1" type="noConversion"/>
  </si>
  <si>
    <t xml:space="preserve">Behaviour </t>
    <phoneticPr fontId="1" type="noConversion"/>
  </si>
  <si>
    <t>Male</t>
    <phoneticPr fontId="1" type="noConversion"/>
  </si>
  <si>
    <t>Female</t>
    <phoneticPr fontId="1" type="noConversion"/>
  </si>
  <si>
    <t xml:space="preserve">Food Selection </t>
    <phoneticPr fontId="1" type="noConversion"/>
  </si>
  <si>
    <t>4 h</t>
    <phoneticPr fontId="1" type="noConversion"/>
  </si>
  <si>
    <t xml:space="preserve"> Drosophila melanogaster</t>
    <phoneticPr fontId="1" type="noConversion"/>
  </si>
  <si>
    <t> Egypt</t>
    <phoneticPr fontId="1" type="noConversion"/>
  </si>
  <si>
    <t>2 µm</t>
    <phoneticPr fontId="1" type="noConversion"/>
  </si>
  <si>
    <t>Feeding</t>
    <phoneticPr fontId="1" type="noConversion"/>
  </si>
  <si>
    <t>24 h</t>
    <phoneticPr fontId="1" type="noConversion"/>
  </si>
  <si>
    <t>Food intake</t>
    <phoneticPr fontId="1" type="noConversion"/>
  </si>
  <si>
    <t>Survival</t>
    <phoneticPr fontId="1" type="noConversion"/>
  </si>
  <si>
    <t>Metabolomic responses in freshwater benthic invertebrate, Chironomus tepperi, exposed to polyethylene microplastics: A two-generational investigation</t>
    <phoneticPr fontId="1" type="noConversion"/>
  </si>
  <si>
    <t>Chironomus tepperi</t>
  </si>
  <si>
    <t>Australia</t>
  </si>
  <si>
    <t>30 µm</t>
  </si>
  <si>
    <t>150  MPs/kg</t>
    <phoneticPr fontId="1" type="noConversion"/>
  </si>
  <si>
    <t>250  MPs/kg</t>
    <phoneticPr fontId="1" type="noConversion"/>
  </si>
  <si>
    <t>500  MPs/kg</t>
    <phoneticPr fontId="1" type="noConversion"/>
  </si>
  <si>
    <t>1000  MPs/kg</t>
    <phoneticPr fontId="1" type="noConversion"/>
  </si>
  <si>
    <t xml:space="preserve"> Polyethylene</t>
    <phoneticPr fontId="1" type="noConversion"/>
  </si>
  <si>
    <t xml:space="preserve">5 day </t>
    <phoneticPr fontId="1" type="noConversion"/>
  </si>
  <si>
    <t>Larvae</t>
    <phoneticPr fontId="1" type="noConversion"/>
  </si>
  <si>
    <t xml:space="preserve">10 day </t>
    <phoneticPr fontId="1" type="noConversion"/>
  </si>
  <si>
    <t>Emergence ratio</t>
    <phoneticPr fontId="1" type="noConversion"/>
  </si>
  <si>
    <t xml:space="preserve"> Microplastics in freshwater and their effects on host microbiota</t>
    <phoneticPr fontId="1" type="noConversion"/>
  </si>
  <si>
    <t>Water boatmen</t>
    <phoneticPr fontId="1" type="noConversion"/>
  </si>
  <si>
    <t>Sweden</t>
    <phoneticPr fontId="1" type="noConversion"/>
  </si>
  <si>
    <t> Nymphs </t>
    <phoneticPr fontId="1" type="noConversion"/>
  </si>
  <si>
    <t>Fluoresbrite®</t>
    <phoneticPr fontId="1" type="noConversion"/>
  </si>
  <si>
    <t>72 h</t>
    <phoneticPr fontId="1" type="noConversion"/>
  </si>
  <si>
    <t>Biodegradation of Polystyrene by Dark (Tenebrio obscurus) and Yellow (Tenebrio molitor) Mealworms (Coleoptera: Tenebrionidae)</t>
    <phoneticPr fontId="1" type="noConversion"/>
  </si>
  <si>
    <t>Tenebrio obscurus</t>
  </si>
  <si>
    <t>7.2 g</t>
  </si>
  <si>
    <t xml:space="preserve">31 day </t>
    <phoneticPr fontId="1" type="noConversion"/>
  </si>
  <si>
    <t>Size-dependent and sex-specific negative effects of micro- and nano-sized polystyrene particles in the terrestrial invertebrate model Drosophila melanogaster</t>
    <phoneticPr fontId="1" type="noConversion"/>
  </si>
  <si>
    <t xml:space="preserve"> Polystyrene </t>
    <phoneticPr fontId="1" type="noConversion"/>
  </si>
  <si>
    <t>30 h</t>
    <phoneticPr fontId="1" type="noConversion"/>
  </si>
  <si>
    <t>Poland</t>
    <phoneticPr fontId="1" type="noConversion"/>
  </si>
  <si>
    <t>0.001 µL/ml </t>
    <phoneticPr fontId="1" type="noConversion"/>
  </si>
  <si>
    <t>1.0–1.9 µm</t>
    <phoneticPr fontId="1" type="noConversion"/>
  </si>
  <si>
    <t>31 h</t>
    <phoneticPr fontId="1" type="noConversion"/>
  </si>
  <si>
    <t>0.4–0.6 µm</t>
    <phoneticPr fontId="1" type="noConversion"/>
  </si>
  <si>
    <t>32 h</t>
    <phoneticPr fontId="1" type="noConversion"/>
  </si>
  <si>
    <t xml:space="preserve">Anti-Oxidant </t>
    <phoneticPr fontId="1" type="noConversion"/>
  </si>
  <si>
    <t>Examining effects of ontogenic microplastic transference on Culex mosquito mortality and adult weight</t>
    <phoneticPr fontId="1" type="noConversion"/>
  </si>
  <si>
    <t xml:space="preserve">Culex mosquito </t>
  </si>
  <si>
    <t>England</t>
  </si>
  <si>
    <r>
      <t> 2</t>
    </r>
    <r>
      <rPr>
        <sz val="12"/>
        <color rgb="FF1F1F1F"/>
        <rFont val="Times New Roman"/>
        <family val="1"/>
      </rPr>
      <t> </t>
    </r>
    <r>
      <rPr>
        <sz val="12"/>
        <color rgb="FF1F1F1F"/>
        <rFont val="Georgia"/>
        <family val="1"/>
      </rPr>
      <t>μm</t>
    </r>
    <phoneticPr fontId="1" type="noConversion"/>
  </si>
  <si>
    <t>15 μm</t>
  </si>
  <si>
    <t xml:space="preserve"> 100 MPs/ mL</t>
    <phoneticPr fontId="1" type="noConversion"/>
  </si>
  <si>
    <t>200 MPs/ mL</t>
    <phoneticPr fontId="1" type="noConversion"/>
  </si>
  <si>
    <t>12 day</t>
    <phoneticPr fontId="1" type="noConversion"/>
  </si>
  <si>
    <t xml:space="preserve">Culex mosquito </t>
    <phoneticPr fontId="1" type="noConversion"/>
  </si>
  <si>
    <t>England</t>
    <phoneticPr fontId="1" type="noConversion"/>
  </si>
  <si>
    <t>15 μm</t>
    <phoneticPr fontId="1" type="noConversion"/>
  </si>
  <si>
    <t>50 MPs/ mL</t>
    <phoneticPr fontId="1" type="noConversion"/>
  </si>
  <si>
    <t>type</t>
    <phoneticPr fontId="1" type="noConversion"/>
  </si>
  <si>
    <t>Microplastic</t>
    <phoneticPr fontId="1" type="noConversion"/>
  </si>
  <si>
    <t>other</t>
    <phoneticPr fontId="1" type="noConversion"/>
  </si>
  <si>
    <t>Protein level, Lipid level; Micro elements level</t>
    <phoneticPr fontId="1" type="noConversion"/>
  </si>
  <si>
    <t xml:space="preserve">Protein Content </t>
    <phoneticPr fontId="1" type="noConversion"/>
  </si>
  <si>
    <t>D-Glucose content</t>
    <phoneticPr fontId="1" type="noConversion"/>
  </si>
  <si>
    <t>Butyric</t>
    <phoneticPr fontId="1" type="noConversion"/>
  </si>
  <si>
    <t>Lauric acid</t>
    <phoneticPr fontId="1" type="noConversion"/>
  </si>
  <si>
    <t>Myristic acid </t>
    <phoneticPr fontId="1" type="noConversion"/>
  </si>
  <si>
    <t>Palmitic </t>
    <phoneticPr fontId="1" type="noConversion"/>
  </si>
  <si>
    <t>Palmitoleic </t>
    <phoneticPr fontId="1" type="noConversion"/>
  </si>
  <si>
    <t>Margaric </t>
    <phoneticPr fontId="1" type="noConversion"/>
  </si>
  <si>
    <t>Stearic</t>
    <phoneticPr fontId="1" type="noConversion"/>
  </si>
  <si>
    <t>Elaidic</t>
    <phoneticPr fontId="1" type="noConversion"/>
  </si>
  <si>
    <t>Vaccenic</t>
    <phoneticPr fontId="1" type="noConversion"/>
  </si>
  <si>
    <t>Linoleic </t>
    <phoneticPr fontId="1" type="noConversion"/>
  </si>
  <si>
    <t>Linolenic</t>
    <phoneticPr fontId="1" type="noConversion"/>
  </si>
  <si>
    <t>g-Linolenic</t>
    <phoneticPr fontId="1" type="noConversion"/>
  </si>
  <si>
    <t>Gondoic</t>
    <phoneticPr fontId="1" type="noConversion"/>
  </si>
  <si>
    <t>C20:2</t>
    <phoneticPr fontId="1" type="noConversion"/>
  </si>
  <si>
    <t>Arachidonic</t>
    <phoneticPr fontId="1" type="noConversion"/>
  </si>
  <si>
    <t>Eicosapentaenoic acid</t>
    <phoneticPr fontId="1" type="noConversion"/>
  </si>
  <si>
    <t>Behenic</t>
    <phoneticPr fontId="1" type="noConversion"/>
  </si>
  <si>
    <t>Adrenic </t>
    <phoneticPr fontId="1" type="noConversion"/>
  </si>
  <si>
    <t>GstD3</t>
    <phoneticPr fontId="1" type="noConversion"/>
  </si>
  <si>
    <t>Chao 2 Index</t>
    <phoneticPr fontId="1" type="noConversion"/>
  </si>
  <si>
    <t>Chao 3 Index</t>
    <phoneticPr fontId="1" type="noConversion"/>
  </si>
  <si>
    <t>Food selection rate</t>
    <phoneticPr fontId="1" type="noConversion"/>
  </si>
  <si>
    <t>Sleep time</t>
    <phoneticPr fontId="1" type="noConversion"/>
  </si>
  <si>
    <t>Residence time</t>
    <phoneticPr fontId="1" type="noConversion"/>
  </si>
  <si>
    <t>Sum activity</t>
    <phoneticPr fontId="1" type="noConversion"/>
  </si>
  <si>
    <t>Interior Width</t>
    <phoneticPr fontId="1" type="noConversion"/>
  </si>
  <si>
    <t>Case Length</t>
    <phoneticPr fontId="1" type="noConversion"/>
  </si>
  <si>
    <t>FT*</t>
    <phoneticPr fontId="1" type="noConversion"/>
  </si>
  <si>
    <t>FC*</t>
    <phoneticPr fontId="1" type="noConversion"/>
  </si>
  <si>
    <t xml:space="preserve">FT*= motality Treatment mean is converted into survial mean </t>
    <phoneticPr fontId="1" type="noConversion"/>
  </si>
  <si>
    <t xml:space="preserve">FC*= motality Control mean is converted into survial mean </t>
    <phoneticPr fontId="1" type="noConversion"/>
  </si>
  <si>
    <t>Converted from Mortality</t>
    <phoneticPr fontId="1" type="noConversion"/>
  </si>
  <si>
    <t>Survival</t>
    <phoneticPr fontId="1" type="noConversion"/>
  </si>
  <si>
    <t>375 mg/Kg</t>
    <phoneticPr fontId="1" type="noConversion"/>
  </si>
  <si>
    <t>LPO</t>
    <phoneticPr fontId="1" type="noConversion"/>
  </si>
  <si>
    <t>g/kg</t>
    <phoneticPr fontId="1" type="noConversion"/>
  </si>
  <si>
    <t>0.25 mg/0.5 g diet</t>
    <phoneticPr fontId="1" type="noConversion"/>
  </si>
  <si>
    <t>0.022 </t>
    <phoneticPr fontId="1" type="noConversion"/>
  </si>
  <si>
    <t>10 μg/mL</t>
    <phoneticPr fontId="1" type="noConversion"/>
  </si>
  <si>
    <t>6000 ng/L</t>
    <phoneticPr fontId="1" type="noConversion"/>
  </si>
  <si>
    <t>g/kg</t>
  </si>
  <si>
    <t>2.5 </t>
  </si>
  <si>
    <t>0.022 </t>
  </si>
  <si>
    <t>0.5 </t>
  </si>
  <si>
    <r>
      <t>8.0 × 10</t>
    </r>
    <r>
      <rPr>
        <sz val="7.5"/>
        <color rgb="FF222222"/>
        <rFont val="Arial"/>
        <family val="2"/>
      </rPr>
      <t>6</t>
    </r>
  </si>
  <si>
    <t>g/kg</t>
    <phoneticPr fontId="1" type="noConversion"/>
  </si>
  <si>
    <t>2.5 </t>
    <phoneticPr fontId="1" type="noConversion"/>
  </si>
  <si>
    <t>0.022 </t>
    <phoneticPr fontId="1" type="noConversion"/>
  </si>
  <si>
    <t>g/kg</t>
    <phoneticPr fontId="1" type="noConversion"/>
  </si>
  <si>
    <t>0.005 µg/ml</t>
    <phoneticPr fontId="1" type="noConversion"/>
  </si>
  <si>
    <t>0.25 mg/0.5 g diet</t>
    <phoneticPr fontId="1" type="noConversion"/>
  </si>
  <si>
    <t>15 mg/14,985 mg</t>
    <phoneticPr fontId="1" type="noConversion"/>
  </si>
  <si>
    <t>300 mg/ 14,700 mg</t>
    <phoneticPr fontId="1" type="noConversion"/>
  </si>
  <si>
    <t>No Effect of Realistic Microplastic Exposure on Growth and Development of Wild-caught Culex (Diptera: Culicidae) Mosquitoe</t>
  </si>
  <si>
    <t>50 μg/L</t>
    <phoneticPr fontId="1" type="noConversion"/>
  </si>
  <si>
    <t>2.2 × 10–9 g/ml</t>
  </si>
  <si>
    <t>concentration</t>
    <phoneticPr fontId="1" type="noConversion"/>
  </si>
  <si>
    <t xml:space="preserve">concentration </t>
    <phoneticPr fontId="1" type="noConversion"/>
  </si>
  <si>
    <t>Samples</t>
    <phoneticPr fontId="1" type="noConversion"/>
  </si>
  <si>
    <t>Bull Entomol Res</t>
  </si>
  <si>
    <t>Sci Rep</t>
  </si>
  <si>
    <t>Int J Environ Res Public Health.</t>
  </si>
  <si>
    <t>Chemosphere</t>
  </si>
  <si>
    <t>Chemosphere</t>
    <phoneticPr fontId="1" type="noConversion"/>
  </si>
  <si>
    <t>Environ Pollut</t>
  </si>
  <si>
    <t>Science of The Total Environment</t>
  </si>
  <si>
    <t>J Toxicol Environ Health A</t>
  </si>
  <si>
    <t>Environ Sci Pollut Res Int</t>
  </si>
  <si>
    <t>J Med Entomol</t>
  </si>
  <si>
    <t>Environ Res</t>
  </si>
  <si>
    <t>Ecotoxicology</t>
  </si>
  <si>
    <t>Environ Pollut
.</t>
    <phoneticPr fontId="1" type="noConversion"/>
  </si>
  <si>
    <t>PeerJ</t>
  </si>
  <si>
    <r>
      <t>Journal of Applied Entomology</t>
    </r>
    <r>
      <rPr>
        <sz val="11"/>
        <color rgb="FF1C1D1E"/>
        <rFont val="Arial"/>
        <family val="2"/>
      </rPr>
      <t> </t>
    </r>
  </si>
  <si>
    <t>Sci Total Environ</t>
  </si>
  <si>
    <t>Toxics</t>
  </si>
  <si>
    <t>Environ Sci Technol</t>
  </si>
  <si>
    <r>
      <t>Water</t>
    </r>
    <r>
      <rPr>
        <u/>
        <sz val="11"/>
        <color theme="10"/>
        <rFont val="等线"/>
        <family val="3"/>
        <charset val="134"/>
        <scheme val="minor"/>
      </rPr>
      <t> </t>
    </r>
  </si>
  <si>
    <t>Journal of Hazardous Materials</t>
  </si>
  <si>
    <t>Environmental Pollution</t>
  </si>
  <si>
    <t>J Hazard Mater</t>
  </si>
  <si>
    <t>Environment International</t>
  </si>
  <si>
    <t>ACS Nano</t>
  </si>
  <si>
    <t>Environmental Science &amp; Technology</t>
  </si>
  <si>
    <t>Micron</t>
  </si>
  <si>
    <t>J Toxicol Environ Health A</t>
    <phoneticPr fontId="1" type="noConversion"/>
  </si>
  <si>
    <t>Environ Sci Pollut Res Int</t>
    <phoneticPr fontId="1" type="noConversion"/>
  </si>
  <si>
    <t>J Med Entomol</t>
    <phoneticPr fontId="1" type="noConversion"/>
  </si>
  <si>
    <t>Environ Res</t>
    <phoneticPr fontId="1" type="noConversion"/>
  </si>
  <si>
    <t>Ecotoxicology</t>
    <phoneticPr fontId="1" type="noConversion"/>
  </si>
  <si>
    <t>PeerJ</t>
    <phoneticPr fontId="1" type="noConversion"/>
  </si>
  <si>
    <t>Sci Total Environ</t>
    <phoneticPr fontId="1" type="noConversion"/>
  </si>
  <si>
    <t>Toxics</t>
    <phoneticPr fontId="1" type="noConversion"/>
  </si>
  <si>
    <t>Environ Sci Technol</t>
    <phoneticPr fontId="1" type="noConversion"/>
  </si>
  <si>
    <r>
      <t>Water</t>
    </r>
    <r>
      <rPr>
        <u/>
        <sz val="11"/>
        <color theme="10"/>
        <rFont val="等线"/>
        <family val="3"/>
        <charset val="134"/>
        <scheme val="minor"/>
      </rPr>
      <t> </t>
    </r>
    <phoneticPr fontId="1" type="noConversion"/>
  </si>
  <si>
    <t>J Hazard Mater</t>
    <phoneticPr fontId="1" type="noConversion"/>
  </si>
  <si>
    <t>J APPL ENTOMOL</t>
    <phoneticPr fontId="1" type="noConversion"/>
  </si>
  <si>
    <t>Types</t>
  </si>
  <si>
    <t>PS</t>
    <phoneticPr fontId="1" type="noConversion"/>
  </si>
  <si>
    <t>PU</t>
    <phoneticPr fontId="1" type="noConversion"/>
  </si>
  <si>
    <t>PP</t>
    <phoneticPr fontId="1" type="noConversion"/>
  </si>
  <si>
    <t>PE</t>
    <phoneticPr fontId="1" type="noConversion"/>
  </si>
  <si>
    <t>PA</t>
    <phoneticPr fontId="1" type="noConversion"/>
  </si>
  <si>
    <t>PLA</t>
    <phoneticPr fontId="1" type="noConversion"/>
  </si>
  <si>
    <t>PES</t>
    <phoneticPr fontId="1" type="noConversion"/>
  </si>
  <si>
    <t>A. mellifera</t>
    <phoneticPr fontId="1" type="noConversion"/>
  </si>
  <si>
    <t>2 day</t>
    <phoneticPr fontId="1" type="noConversion"/>
  </si>
  <si>
    <t>4 day</t>
    <phoneticPr fontId="1" type="noConversion"/>
  </si>
  <si>
    <t>2.2 × 10–9 g/ml</t>
    <phoneticPr fontId="1" type="noConversion"/>
  </si>
  <si>
    <t>24 h</t>
    <phoneticPr fontId="15" type="noConversion"/>
  </si>
  <si>
    <t>10 day</t>
  </si>
  <si>
    <t>15 day</t>
  </si>
  <si>
    <t>20 day</t>
  </si>
  <si>
    <t>30 day</t>
  </si>
  <si>
    <t>20 day</t>
    <phoneticPr fontId="15" type="noConversion"/>
  </si>
  <si>
    <t>Bull Entomol Res</t>
    <phoneticPr fontId="1" type="noConversion"/>
  </si>
  <si>
    <t>Sci Rep</t>
    <phoneticPr fontId="1" type="noConversion"/>
  </si>
  <si>
    <t>Int J Environ Res Public Health</t>
    <phoneticPr fontId="1" type="noConversion"/>
  </si>
  <si>
    <t>Environ Pollut</t>
    <phoneticPr fontId="1" type="noConversion"/>
  </si>
  <si>
    <t>Environ Int</t>
    <phoneticPr fontId="1" type="noConversion"/>
  </si>
  <si>
    <t>ACS Nano</t>
    <phoneticPr fontId="1" type="noConversion"/>
  </si>
  <si>
    <t>Micron</t>
    <phoneticPr fontId="1" type="noConversion"/>
  </si>
  <si>
    <t xml:space="preserve">Global Meta-Analysis Reveals the Impact of Microplastics and Nanoplastics on Insects </t>
  </si>
  <si>
    <r>
      <t>Muzamil Abbas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Muhammad Jafir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Talha Nazir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Shan Hussain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Nadia Sarwar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 xml:space="preserve">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Liyan Song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and Xia Wan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* </t>
    </r>
  </si>
  <si>
    <t>Correspondence to: wanxia@ahu.edu.cn</t>
  </si>
  <si>
    <r>
      <t>1</t>
    </r>
    <r>
      <rPr>
        <sz val="12"/>
        <color rgb="FF000000"/>
        <rFont val="Times New Roman"/>
        <family val="1"/>
      </rPr>
      <t>Department of Ecology, School of Resources and Environmental Engineering, Anhui University Hefei, 230601, Anhui, China</t>
    </r>
    <r>
      <rPr>
        <i/>
        <sz val="12"/>
        <color rgb="FF000000"/>
        <rFont val="Times New Roman"/>
        <family val="1"/>
      </rPr>
      <t xml:space="preserve"> </t>
    </r>
  </si>
  <si>
    <r>
      <t>2</t>
    </r>
    <r>
      <rPr>
        <sz val="8"/>
        <color rgb="FF000000"/>
        <rFont val="Times New Roman"/>
        <family val="1"/>
      </rPr>
      <t xml:space="preserve"> </t>
    </r>
    <r>
      <rPr>
        <i/>
        <sz val="12"/>
        <color rgb="FF000000"/>
        <rFont val="Times New Roman"/>
        <family val="1"/>
      </rPr>
      <t xml:space="preserve">Centre for Agriculture and Bioscience International (CABI), Rawalpindi 46000, Punjab, Pakistan </t>
    </r>
  </si>
  <si>
    <r>
      <t>3</t>
    </r>
    <r>
      <rPr>
        <i/>
        <sz val="12"/>
        <color rgb="FF000000"/>
        <rFont val="Times New Roman"/>
        <family val="1"/>
      </rPr>
      <t>Department of Entomology, Faculty of Agriculture, University of Agriculture, Faisalabad, Pakistan</t>
    </r>
  </si>
  <si>
    <t xml:space="preserve">Sr. No </t>
    <phoneticPr fontId="1" type="noConversion"/>
  </si>
  <si>
    <t>Journal</t>
    <phoneticPr fontId="1" type="noConversion"/>
  </si>
  <si>
    <t xml:space="preserve">Year </t>
    <phoneticPr fontId="1" type="noConversion"/>
  </si>
  <si>
    <t xml:space="preserve">Extracted Articles </t>
    <phoneticPr fontId="1" type="noConversion"/>
  </si>
  <si>
    <t>Title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</si>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</sst>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等线"/>
      <family val="2"/>
      <charset val="134"/>
      <scheme val="minor"/>
    </font>
    <font>
      <sz val="12"/>
      <color rgb="FF3F3F3F"/>
      <name val="Times New Roman"/>
      <family val="1"/>
    </font>
    <font>
      <i/>
      <sz val="12"/>
      <color rgb="FF1F1F1F"/>
      <name val="Georgia"/>
      <family val="1"/>
    </font>
    <font>
      <sz val="12"/>
      <color theme="0"/>
      <name val="Times New Roman"/>
      <family val="1"/>
    </font>
    <font>
      <sz val="12"/>
      <color rgb="FF1F1F1F"/>
      <name val="Georgia"/>
      <family val="1"/>
    </font>
    <font>
      <sz val="11"/>
      <color rgb="FF2A2A2A"/>
      <name val="Arial"/>
      <family val="2"/>
    </font>
    <font>
      <sz val="12"/>
      <name val="Times New Roman"/>
      <family val="1"/>
    </font>
    <font>
      <sz val="12"/>
      <color rgb="FF1F1F1F"/>
      <name val="Times New Roman"/>
      <family val="1"/>
    </font>
    <font>
      <sz val="10"/>
      <color rgb="FF222222"/>
      <name val="Arial"/>
      <family val="2"/>
    </font>
    <font>
      <sz val="7.5"/>
      <color rgb="FF222222"/>
      <name val="Arial"/>
      <family val="2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rgb="FF000000"/>
      <name val="Times New Roman"/>
      <family val="1"/>
    </font>
    <font>
      <sz val="10.5"/>
      <color theme="1"/>
      <name val="Times New Roman"/>
      <family val="1"/>
    </font>
    <font>
      <sz val="12"/>
      <color rgb="FF5B616B"/>
      <name val="Segoe UI"/>
      <family val="2"/>
    </font>
    <font>
      <sz val="11"/>
      <color rgb="FF1C1D1E"/>
      <name val="Arial"/>
      <family val="2"/>
    </font>
    <font>
      <u/>
      <sz val="11"/>
      <color theme="1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i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A7B4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50BAD"/>
        <bgColor indexed="64"/>
      </patternFill>
    </fill>
    <fill>
      <patternFill patternType="solid">
        <fgColor rgb="FF7E6942"/>
        <bgColor indexed="64"/>
      </patternFill>
    </fill>
    <fill>
      <patternFill patternType="solid">
        <fgColor rgb="FF838ABF"/>
        <bgColor indexed="64"/>
      </patternFill>
    </fill>
    <fill>
      <patternFill patternType="solid">
        <fgColor rgb="FFD8ACD9"/>
        <bgColor indexed="64"/>
      </patternFill>
    </fill>
    <fill>
      <patternFill patternType="solid">
        <fgColor rgb="FFA8F83E"/>
        <bgColor indexed="64"/>
      </patternFill>
    </fill>
    <fill>
      <patternFill patternType="solid">
        <fgColor rgb="FF6C97CA"/>
        <bgColor indexed="64"/>
      </patternFill>
    </fill>
    <fill>
      <patternFill patternType="solid">
        <fgColor rgb="FFD17EF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68AB1"/>
        <bgColor indexed="64"/>
      </patternFill>
    </fill>
    <fill>
      <patternFill patternType="solid">
        <fgColor rgb="FFED8987"/>
        <bgColor indexed="64"/>
      </patternFill>
    </fill>
    <fill>
      <patternFill patternType="solid">
        <fgColor rgb="FFAE72A3"/>
        <bgColor indexed="64"/>
      </patternFill>
    </fill>
    <fill>
      <patternFill patternType="solid">
        <fgColor rgb="FF7C9A93"/>
        <bgColor indexed="64"/>
      </patternFill>
    </fill>
    <fill>
      <patternFill patternType="solid">
        <fgColor rgb="FFAEB066"/>
        <bgColor indexed="64"/>
      </patternFill>
    </fill>
    <fill>
      <patternFill patternType="solid">
        <fgColor rgb="FFF4C39E"/>
        <bgColor indexed="64"/>
      </patternFill>
    </fill>
    <fill>
      <patternFill patternType="solid">
        <fgColor rgb="FF97AA84"/>
        <bgColor indexed="64"/>
      </patternFill>
    </fill>
    <fill>
      <patternFill patternType="solid">
        <fgColor rgb="FF96CBE6"/>
        <bgColor indexed="64"/>
      </patternFill>
    </fill>
    <fill>
      <patternFill patternType="solid">
        <fgColor rgb="FFE2E09C"/>
        <bgColor indexed="64"/>
      </patternFill>
    </fill>
    <fill>
      <patternFill patternType="solid">
        <fgColor rgb="FFF4ACAA"/>
        <bgColor indexed="64"/>
      </patternFill>
    </fill>
    <fill>
      <patternFill patternType="solid">
        <fgColor rgb="FF9BCCED"/>
        <bgColor indexed="64"/>
      </patternFill>
    </fill>
    <fill>
      <patternFill patternType="solid">
        <fgColor rgb="FFD0F791"/>
        <bgColor indexed="64"/>
      </patternFill>
    </fill>
    <fill>
      <patternFill patternType="solid">
        <fgColor rgb="FFFEB4E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BD6E9"/>
        <bgColor indexed="64"/>
      </patternFill>
    </fill>
    <fill>
      <patternFill patternType="solid">
        <fgColor rgb="FFFFAB81"/>
        <bgColor indexed="64"/>
      </patternFill>
    </fill>
    <fill>
      <patternFill patternType="solid">
        <fgColor rgb="FFCDA7D9"/>
        <bgColor indexed="64"/>
      </patternFill>
    </fill>
    <fill>
      <patternFill patternType="solid">
        <fgColor rgb="FFC0D072"/>
        <bgColor indexed="64"/>
      </patternFill>
    </fill>
    <fill>
      <patternFill patternType="solid">
        <fgColor rgb="FF80C69B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6" borderId="1" applyNumberFormat="0" applyFont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5" fillId="2" borderId="1" xfId="2" applyFont="1" applyFill="1" applyAlignment="1">
      <alignment horizontal="center" vertical="center"/>
    </xf>
    <xf numFmtId="0" fontId="5" fillId="3" borderId="1" xfId="2" applyFont="1" applyFill="1" applyAlignment="1">
      <alignment horizontal="center" vertical="center"/>
    </xf>
    <xf numFmtId="0" fontId="5" fillId="4" borderId="1" xfId="2" applyFont="1" applyFill="1" applyAlignment="1">
      <alignment horizontal="center" vertical="center"/>
    </xf>
    <xf numFmtId="0" fontId="5" fillId="5" borderId="1" xfId="2" applyFont="1" applyFill="1" applyAlignment="1">
      <alignment horizontal="center" vertical="center"/>
    </xf>
    <xf numFmtId="0" fontId="5" fillId="7" borderId="2" xfId="2" applyFont="1" applyFill="1" applyBorder="1" applyAlignment="1">
      <alignment horizontal="center" vertical="center"/>
    </xf>
    <xf numFmtId="0" fontId="5" fillId="8" borderId="1" xfId="2" applyFont="1" applyFill="1" applyAlignment="1">
      <alignment horizontal="center" vertical="center"/>
    </xf>
    <xf numFmtId="0" fontId="5" fillId="9" borderId="1" xfId="2" applyFont="1" applyFill="1" applyAlignment="1">
      <alignment horizontal="center" vertical="center"/>
    </xf>
    <xf numFmtId="0" fontId="7" fillId="10" borderId="1" xfId="2" applyFont="1" applyFill="1" applyAlignment="1">
      <alignment horizontal="center" vertical="center"/>
    </xf>
    <xf numFmtId="0" fontId="7" fillId="11" borderId="1" xfId="2" applyFont="1" applyFill="1" applyAlignment="1">
      <alignment horizontal="center" vertical="center"/>
    </xf>
    <xf numFmtId="0" fontId="7" fillId="13" borderId="1" xfId="2" applyFont="1" applyFill="1" applyAlignment="1">
      <alignment horizontal="center" vertical="center"/>
    </xf>
    <xf numFmtId="0" fontId="7" fillId="14" borderId="1" xfId="2" applyFont="1" applyFill="1" applyAlignment="1">
      <alignment horizontal="center" vertical="center"/>
    </xf>
    <xf numFmtId="0" fontId="7" fillId="15" borderId="1" xfId="2" applyFont="1" applyFill="1" applyAlignment="1">
      <alignment horizontal="center" vertical="center"/>
    </xf>
    <xf numFmtId="0" fontId="5" fillId="16" borderId="1" xfId="2" applyFont="1" applyFill="1" applyAlignment="1">
      <alignment horizontal="center" vertical="center"/>
    </xf>
    <xf numFmtId="0" fontId="7" fillId="17" borderId="1" xfId="2" applyFont="1" applyFill="1" applyAlignment="1">
      <alignment horizontal="center" vertical="center"/>
    </xf>
    <xf numFmtId="0" fontId="10" fillId="18" borderId="1" xfId="2" applyFont="1" applyFill="1" applyAlignment="1">
      <alignment horizontal="center" vertical="center"/>
    </xf>
    <xf numFmtId="0" fontId="10" fillId="19" borderId="1" xfId="2" applyFont="1" applyFill="1" applyAlignment="1">
      <alignment horizontal="center" vertical="center"/>
    </xf>
    <xf numFmtId="0" fontId="7" fillId="19" borderId="1" xfId="2" applyFont="1" applyFill="1" applyAlignment="1">
      <alignment horizontal="center" vertical="center"/>
    </xf>
    <xf numFmtId="0" fontId="10" fillId="20" borderId="1" xfId="2" applyFont="1" applyFill="1" applyAlignment="1">
      <alignment horizontal="center" vertical="center"/>
    </xf>
    <xf numFmtId="0" fontId="10" fillId="21" borderId="1" xfId="2" applyFont="1" applyFill="1" applyAlignment="1">
      <alignment horizontal="center" vertical="center"/>
    </xf>
    <xf numFmtId="0" fontId="10" fillId="22" borderId="2" xfId="2" applyFont="1" applyFill="1" applyBorder="1" applyAlignment="1">
      <alignment horizontal="center" vertical="center"/>
    </xf>
    <xf numFmtId="0" fontId="10" fillId="23" borderId="1" xfId="2" applyFont="1" applyFill="1" applyAlignment="1">
      <alignment horizontal="center" vertical="center"/>
    </xf>
    <xf numFmtId="0" fontId="5" fillId="24" borderId="2" xfId="2" applyFont="1" applyFill="1" applyBorder="1" applyAlignment="1">
      <alignment horizontal="center" vertical="center"/>
    </xf>
    <xf numFmtId="0" fontId="10" fillId="24" borderId="1" xfId="2" applyFont="1" applyFill="1" applyAlignment="1">
      <alignment horizontal="center" vertical="center"/>
    </xf>
    <xf numFmtId="0" fontId="10" fillId="25" borderId="1" xfId="2" applyFont="1" applyFill="1" applyAlignment="1">
      <alignment horizontal="center" vertical="center"/>
    </xf>
    <xf numFmtId="0" fontId="10" fillId="26" borderId="2" xfId="2" applyFont="1" applyFill="1" applyBorder="1" applyAlignment="1">
      <alignment horizontal="center" vertical="center"/>
    </xf>
    <xf numFmtId="0" fontId="10" fillId="26" borderId="1" xfId="2" applyFont="1" applyFill="1" applyAlignment="1">
      <alignment horizontal="center" vertical="center"/>
    </xf>
    <xf numFmtId="0" fontId="5" fillId="27" borderId="1" xfId="2" applyFont="1" applyFill="1" applyAlignment="1">
      <alignment horizontal="center" vertical="center"/>
    </xf>
    <xf numFmtId="0" fontId="5" fillId="28" borderId="1" xfId="2" applyFont="1" applyFill="1" applyAlignment="1">
      <alignment horizontal="center" vertical="center"/>
    </xf>
    <xf numFmtId="0" fontId="5" fillId="29" borderId="1" xfId="2" applyFont="1" applyFill="1" applyAlignment="1">
      <alignment horizontal="center" vertical="center"/>
    </xf>
    <xf numFmtId="0" fontId="5" fillId="30" borderId="1" xfId="2" applyFont="1" applyFill="1" applyAlignment="1">
      <alignment horizontal="center" vertical="center"/>
    </xf>
    <xf numFmtId="0" fontId="5" fillId="31" borderId="1" xfId="2" applyFont="1" applyFill="1" applyAlignment="1">
      <alignment horizontal="center" vertical="center"/>
    </xf>
    <xf numFmtId="0" fontId="5" fillId="32" borderId="1" xfId="2" applyFont="1" applyFill="1" applyAlignment="1">
      <alignment horizontal="center" vertical="center"/>
    </xf>
    <xf numFmtId="0" fontId="7" fillId="12" borderId="1" xfId="2" applyFont="1" applyFill="1" applyAlignment="1">
      <alignment horizontal="center" vertical="center"/>
    </xf>
    <xf numFmtId="0" fontId="5" fillId="33" borderId="1" xfId="2" applyFont="1" applyFill="1" applyAlignment="1">
      <alignment horizontal="center" vertical="center"/>
    </xf>
    <xf numFmtId="0" fontId="5" fillId="34" borderId="1" xfId="2" applyFont="1" applyFill="1" applyAlignment="1">
      <alignment horizontal="center" vertical="center"/>
    </xf>
    <xf numFmtId="0" fontId="10" fillId="35" borderId="1" xfId="2" applyFont="1" applyFill="1" applyAlignment="1">
      <alignment horizontal="center" vertical="center"/>
    </xf>
    <xf numFmtId="0" fontId="10" fillId="36" borderId="1" xfId="2" applyFont="1" applyFill="1" applyAlignment="1">
      <alignment horizontal="center" vertical="center"/>
    </xf>
    <xf numFmtId="0" fontId="10" fillId="37" borderId="1" xfId="2" applyFont="1" applyFill="1" applyAlignment="1">
      <alignment horizontal="center" vertical="center"/>
    </xf>
    <xf numFmtId="0" fontId="10" fillId="38" borderId="1" xfId="2" applyFont="1" applyFill="1" applyAlignment="1">
      <alignment horizontal="center" vertical="center"/>
    </xf>
    <xf numFmtId="0" fontId="10" fillId="39" borderId="1" xfId="2" applyFont="1" applyFill="1" applyAlignment="1">
      <alignment horizontal="center" vertical="center"/>
    </xf>
    <xf numFmtId="0" fontId="10" fillId="40" borderId="1" xfId="2" applyFont="1" applyFill="1" applyAlignment="1">
      <alignment horizontal="center" vertical="center"/>
    </xf>
    <xf numFmtId="11" fontId="0" fillId="0" borderId="0" xfId="0" applyNumberFormat="1">
      <alignment vertical="center"/>
    </xf>
    <xf numFmtId="0" fontId="2" fillId="0" borderId="0" xfId="1">
      <alignment vertical="center"/>
    </xf>
    <xf numFmtId="0" fontId="17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22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5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Border="1">
      <alignment vertical="center"/>
    </xf>
    <xf numFmtId="0" fontId="31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>
      <alignment vertical="center"/>
    </xf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80C69B"/>
      <color rgb="FFC0D072"/>
      <color rgb="FFCDA7D9"/>
      <color rgb="FFFFAB81"/>
      <color rgb="FFFF9966"/>
      <color rgb="FFC0B7CD"/>
      <color rgb="FF9BD6E9"/>
      <color rgb="FFFFC7CE"/>
      <color rgb="FFFEB4EB"/>
      <color rgb="FFCBC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journal/environment-international" TargetMode="External"/><Relationship Id="rId13" Type="http://schemas.openxmlformats.org/officeDocument/2006/relationships/hyperlink" Target="https://pubs.acs.org/journal/esthag" TargetMode="External"/><Relationship Id="rId3" Type="http://schemas.openxmlformats.org/officeDocument/2006/relationships/hyperlink" Target="https://www.sciencedirect.com/journal/chemosphere" TargetMode="External"/><Relationship Id="rId7" Type="http://schemas.openxmlformats.org/officeDocument/2006/relationships/hyperlink" Target="https://www.sciencedirect.com/journal/science-of-the-total-environment" TargetMode="External"/><Relationship Id="rId12" Type="http://schemas.openxmlformats.org/officeDocument/2006/relationships/hyperlink" Target="https://www.sciencedirect.com/journal/journal-of-hazardous-materials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journal/science-of-the-total-environment" TargetMode="External"/><Relationship Id="rId16" Type="http://schemas.openxmlformats.org/officeDocument/2006/relationships/hyperlink" Target="mailto:wanxia@ahu.edu.cn" TargetMode="External"/><Relationship Id="rId1" Type="http://schemas.openxmlformats.org/officeDocument/2006/relationships/hyperlink" Target="https://www.ncbi.nlm.nih.gov/pmc/articles/PMC9741373/" TargetMode="External"/><Relationship Id="rId6" Type="http://schemas.openxmlformats.org/officeDocument/2006/relationships/hyperlink" Target="https://www.sciencedirect.com/journal/environmental-pollution" TargetMode="External"/><Relationship Id="rId11" Type="http://schemas.openxmlformats.org/officeDocument/2006/relationships/hyperlink" Target="https://www.sciencedirect.com/journal/chemosphere" TargetMode="External"/><Relationship Id="rId5" Type="http://schemas.openxmlformats.org/officeDocument/2006/relationships/hyperlink" Target="https://www.sciencedirect.com/journal/journal-of-hazardous-materials" TargetMode="External"/><Relationship Id="rId15" Type="http://schemas.openxmlformats.org/officeDocument/2006/relationships/hyperlink" Target="https://www.sciencedirect.com/journal/science-of-the-total-environment" TargetMode="External"/><Relationship Id="rId10" Type="http://schemas.openxmlformats.org/officeDocument/2006/relationships/hyperlink" Target="https://pubs.acs.org/journal/esthag" TargetMode="External"/><Relationship Id="rId4" Type="http://schemas.openxmlformats.org/officeDocument/2006/relationships/hyperlink" Target="https://www.mdpi.com/journal/water" TargetMode="External"/><Relationship Id="rId9" Type="http://schemas.openxmlformats.org/officeDocument/2006/relationships/hyperlink" Target="https://pubs.acs.org/journal/ancac3" TargetMode="External"/><Relationship Id="rId14" Type="http://schemas.openxmlformats.org/officeDocument/2006/relationships/hyperlink" Target="https://www.sciencedirect.com/journal/micron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mdpi.com/journal/wa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0"/>
  <sheetViews>
    <sheetView tabSelected="1" workbookViewId="0">
      <selection activeCell="Q8" sqref="Q8"/>
    </sheetView>
  </sheetViews>
  <sheetFormatPr defaultRowHeight="14.25" x14ac:dyDescent="0.2"/>
  <cols>
    <col min="2" max="2" width="31.375" customWidth="1"/>
  </cols>
  <sheetData>
    <row r="1" spans="1:15" ht="14.25" customHeight="1" x14ac:dyDescent="0.2">
      <c r="A1" s="54"/>
      <c r="B1" s="54"/>
      <c r="C1" s="54"/>
      <c r="D1" s="54"/>
      <c r="E1" s="54"/>
      <c r="F1" s="54"/>
      <c r="G1" s="54"/>
      <c r="H1" s="54"/>
    </row>
    <row r="2" spans="1:15" ht="18.75" customHeight="1" x14ac:dyDescent="0.2">
      <c r="A2" s="54"/>
      <c r="B2" s="58"/>
      <c r="C2" s="58"/>
      <c r="D2" s="58"/>
      <c r="E2" s="59" t="s">
        <v>788</v>
      </c>
      <c r="F2" s="58"/>
      <c r="G2" s="58"/>
      <c r="H2" s="58"/>
      <c r="I2" s="58"/>
      <c r="J2" s="58"/>
      <c r="K2" s="48"/>
      <c r="L2" s="48"/>
      <c r="M2" s="48"/>
      <c r="N2" s="48"/>
      <c r="O2" s="48"/>
    </row>
    <row r="3" spans="1:15" ht="15.75" customHeight="1" x14ac:dyDescent="0.2">
      <c r="A3" s="54"/>
      <c r="B3" s="58"/>
      <c r="C3" s="58"/>
      <c r="D3" s="58"/>
      <c r="E3" s="60" t="s">
        <v>789</v>
      </c>
      <c r="F3" s="58"/>
      <c r="G3" s="58"/>
      <c r="H3" s="58"/>
      <c r="I3" s="58"/>
      <c r="J3" s="58"/>
      <c r="K3" s="48"/>
      <c r="L3" s="48"/>
      <c r="M3" s="48"/>
      <c r="N3" s="48"/>
      <c r="O3" s="48"/>
    </row>
    <row r="4" spans="1:15" ht="14.25" customHeight="1" x14ac:dyDescent="0.2">
      <c r="A4" s="54"/>
      <c r="B4" s="58"/>
      <c r="C4" s="58"/>
      <c r="D4" s="58"/>
      <c r="E4" s="61"/>
      <c r="F4" s="58"/>
      <c r="G4" s="58"/>
      <c r="H4" s="58"/>
      <c r="I4" s="58"/>
      <c r="J4" s="58"/>
      <c r="K4" s="48"/>
      <c r="L4" s="48"/>
      <c r="M4" s="48"/>
      <c r="N4" s="48"/>
      <c r="O4" s="48"/>
    </row>
    <row r="5" spans="1:15" ht="14.25" customHeight="1" x14ac:dyDescent="0.2">
      <c r="A5" s="54"/>
      <c r="B5" s="58"/>
      <c r="C5" s="58"/>
      <c r="D5" s="58"/>
      <c r="E5" s="60" t="s">
        <v>790</v>
      </c>
      <c r="F5" s="58"/>
      <c r="G5" s="58"/>
      <c r="H5" s="58"/>
      <c r="I5" s="58"/>
      <c r="J5" s="58"/>
      <c r="K5" s="48"/>
      <c r="L5" s="48"/>
      <c r="M5" s="48"/>
      <c r="N5" s="48"/>
      <c r="O5" s="48"/>
    </row>
    <row r="6" spans="1:15" ht="18.75" customHeight="1" x14ac:dyDescent="0.2">
      <c r="A6" s="54"/>
      <c r="B6" s="58"/>
      <c r="C6" s="58"/>
      <c r="D6" s="58"/>
      <c r="E6" s="60" t="s">
        <v>791</v>
      </c>
      <c r="F6" s="58"/>
      <c r="G6" s="58"/>
      <c r="H6" s="58"/>
      <c r="I6" s="58"/>
      <c r="J6" s="58"/>
      <c r="K6" s="48"/>
      <c r="L6" s="48"/>
      <c r="M6" s="48"/>
      <c r="N6" s="48"/>
      <c r="O6" s="48"/>
    </row>
    <row r="7" spans="1:15" ht="18.75" customHeight="1" x14ac:dyDescent="0.2">
      <c r="A7" s="54"/>
      <c r="B7" s="58"/>
      <c r="C7" s="58"/>
      <c r="D7" s="58"/>
      <c r="E7" s="60" t="s">
        <v>792</v>
      </c>
      <c r="F7" s="58"/>
      <c r="G7" s="58"/>
      <c r="H7" s="58"/>
      <c r="I7" s="58"/>
      <c r="J7" s="58"/>
      <c r="K7" s="48"/>
      <c r="L7" s="48"/>
      <c r="M7" s="48"/>
      <c r="N7" s="48"/>
      <c r="O7" s="48"/>
    </row>
    <row r="8" spans="1:15" ht="14.25" customHeight="1" x14ac:dyDescent="0.2">
      <c r="A8" s="54"/>
      <c r="B8" s="58"/>
      <c r="C8" s="58"/>
      <c r="D8" s="58"/>
      <c r="E8" s="60" t="s">
        <v>793</v>
      </c>
      <c r="F8" s="58"/>
      <c r="G8" s="58"/>
      <c r="H8" s="58"/>
      <c r="I8" s="58"/>
      <c r="J8" s="58"/>
      <c r="K8" s="48"/>
      <c r="L8" s="48"/>
      <c r="M8" s="48"/>
      <c r="N8" s="48"/>
      <c r="O8" s="48"/>
    </row>
    <row r="9" spans="1:15" ht="14.25" customHeight="1" x14ac:dyDescent="0.2">
      <c r="A9" s="54"/>
      <c r="B9" s="58"/>
      <c r="C9" s="58"/>
      <c r="D9" s="58"/>
      <c r="E9" s="58"/>
      <c r="F9" s="58"/>
      <c r="G9" s="58"/>
      <c r="H9" s="58"/>
      <c r="I9" s="58"/>
      <c r="J9" s="58"/>
      <c r="K9" s="48"/>
      <c r="L9" s="48"/>
      <c r="M9" s="48"/>
      <c r="N9" s="48"/>
      <c r="O9" s="48"/>
    </row>
    <row r="10" spans="1:15" ht="14.25" customHeight="1" x14ac:dyDescent="0.2">
      <c r="A10" s="54"/>
      <c r="B10" s="48"/>
      <c r="C10" s="48"/>
      <c r="D10" s="56" t="s">
        <v>797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</row>
    <row r="11" spans="1:15" ht="14.25" customHeight="1" x14ac:dyDescent="0.2">
      <c r="A11" s="54"/>
      <c r="C11" s="51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</row>
    <row r="12" spans="1:15" ht="18.75" x14ac:dyDescent="0.2">
      <c r="A12" s="55" t="s">
        <v>794</v>
      </c>
      <c r="B12" s="55" t="s">
        <v>795</v>
      </c>
      <c r="C12" s="55" t="s">
        <v>796</v>
      </c>
      <c r="D12" s="55" t="s">
        <v>798</v>
      </c>
    </row>
    <row r="13" spans="1:15" x14ac:dyDescent="0.2">
      <c r="A13" s="57">
        <v>1</v>
      </c>
      <c r="B13" s="48" t="s">
        <v>725</v>
      </c>
      <c r="C13" s="48">
        <v>2023</v>
      </c>
      <c r="D13" s="48" t="s">
        <v>0</v>
      </c>
      <c r="E13" s="48"/>
      <c r="F13" s="48"/>
      <c r="G13" s="48"/>
      <c r="H13" s="48"/>
      <c r="I13" s="48"/>
      <c r="J13" s="48"/>
      <c r="K13" s="48"/>
      <c r="L13" s="48"/>
    </row>
    <row r="14" spans="1:15" x14ac:dyDescent="0.2">
      <c r="A14" s="57">
        <v>2</v>
      </c>
      <c r="B14" s="48" t="s">
        <v>726</v>
      </c>
      <c r="C14" s="48">
        <v>2023</v>
      </c>
      <c r="D14" s="48" t="s">
        <v>1</v>
      </c>
      <c r="E14" s="48"/>
      <c r="F14" s="48"/>
      <c r="G14" s="48"/>
      <c r="H14" s="48"/>
      <c r="I14" s="48"/>
      <c r="J14" s="48"/>
      <c r="K14" s="48"/>
      <c r="L14" s="48"/>
    </row>
    <row r="15" spans="1:15" x14ac:dyDescent="0.2">
      <c r="A15" s="57">
        <v>3</v>
      </c>
      <c r="B15" s="48" t="s">
        <v>727</v>
      </c>
      <c r="C15" s="48">
        <v>2022</v>
      </c>
      <c r="D15" s="48" t="s">
        <v>2</v>
      </c>
      <c r="E15" s="48"/>
      <c r="F15" s="48"/>
      <c r="G15" s="48"/>
      <c r="H15" s="48"/>
      <c r="I15" s="48"/>
      <c r="J15" s="48"/>
      <c r="K15" s="48"/>
      <c r="L15" s="48"/>
    </row>
    <row r="16" spans="1:15" x14ac:dyDescent="0.2">
      <c r="A16" s="57">
        <v>4</v>
      </c>
      <c r="B16" s="48" t="s">
        <v>729</v>
      </c>
      <c r="C16" s="48">
        <v>2022</v>
      </c>
      <c r="D16" s="48" t="s">
        <v>3</v>
      </c>
      <c r="E16" s="48"/>
      <c r="F16" s="48"/>
      <c r="G16" s="48"/>
      <c r="H16" s="48"/>
      <c r="I16" s="48"/>
      <c r="J16" s="48"/>
      <c r="K16" s="48"/>
      <c r="L16" s="48"/>
    </row>
    <row r="17" spans="1:12" x14ac:dyDescent="0.2">
      <c r="A17" s="57">
        <v>5</v>
      </c>
      <c r="B17" s="48" t="s">
        <v>730</v>
      </c>
      <c r="C17" s="48">
        <v>2021</v>
      </c>
      <c r="D17" s="48" t="s">
        <v>4</v>
      </c>
      <c r="E17" s="48"/>
      <c r="F17" s="48"/>
      <c r="G17" s="48"/>
      <c r="H17" s="48"/>
      <c r="I17" s="48"/>
      <c r="J17" s="48"/>
      <c r="K17" s="48"/>
      <c r="L17" s="48"/>
    </row>
    <row r="18" spans="1:12" x14ac:dyDescent="0.2">
      <c r="A18" s="57">
        <v>6</v>
      </c>
      <c r="B18" s="48" t="s">
        <v>731</v>
      </c>
      <c r="C18" s="48">
        <v>2021</v>
      </c>
      <c r="D18" s="48" t="s">
        <v>5</v>
      </c>
      <c r="E18" s="48"/>
      <c r="F18" s="48"/>
      <c r="G18" s="48"/>
      <c r="H18" s="48"/>
      <c r="I18" s="48"/>
      <c r="J18" s="48"/>
      <c r="K18" s="48"/>
      <c r="L18" s="48"/>
    </row>
    <row r="19" spans="1:12" x14ac:dyDescent="0.2">
      <c r="A19" s="57">
        <v>7</v>
      </c>
      <c r="B19" s="48" t="s">
        <v>728</v>
      </c>
      <c r="C19" s="48">
        <v>2021</v>
      </c>
      <c r="D19" s="48" t="s">
        <v>6</v>
      </c>
      <c r="E19" s="48"/>
      <c r="F19" s="48"/>
      <c r="G19" s="48"/>
      <c r="H19" s="48"/>
      <c r="I19" s="48"/>
      <c r="J19" s="48"/>
      <c r="K19" s="48"/>
      <c r="L19" s="48"/>
    </row>
    <row r="20" spans="1:12" x14ac:dyDescent="0.2">
      <c r="A20" s="57">
        <v>8</v>
      </c>
      <c r="B20" s="48" t="s">
        <v>732</v>
      </c>
      <c r="C20" s="48">
        <v>2021</v>
      </c>
      <c r="D20" s="48" t="s">
        <v>7</v>
      </c>
      <c r="E20" s="48"/>
      <c r="F20" s="48"/>
      <c r="G20" s="48"/>
      <c r="H20" s="48"/>
      <c r="I20" s="48"/>
      <c r="J20" s="48"/>
      <c r="K20" s="48"/>
      <c r="L20" s="48"/>
    </row>
    <row r="21" spans="1:12" x14ac:dyDescent="0.2">
      <c r="A21" s="57">
        <v>9</v>
      </c>
      <c r="B21" s="48" t="s">
        <v>728</v>
      </c>
      <c r="C21" s="48">
        <v>2020</v>
      </c>
      <c r="D21" s="48" t="s">
        <v>8</v>
      </c>
      <c r="E21" s="48"/>
      <c r="F21" s="48"/>
      <c r="G21" s="48"/>
      <c r="H21" s="48"/>
      <c r="I21" s="48"/>
      <c r="J21" s="48"/>
      <c r="K21" s="48"/>
      <c r="L21" s="48"/>
    </row>
    <row r="22" spans="1:12" x14ac:dyDescent="0.2">
      <c r="A22" s="57">
        <v>10</v>
      </c>
      <c r="B22" s="48" t="s">
        <v>733</v>
      </c>
      <c r="C22" s="48">
        <v>2020</v>
      </c>
      <c r="D22" s="48" t="s">
        <v>9</v>
      </c>
      <c r="E22" s="48"/>
      <c r="F22" s="48"/>
      <c r="G22" s="48"/>
      <c r="H22" s="48"/>
      <c r="I22" s="48"/>
      <c r="J22" s="48"/>
      <c r="K22" s="48"/>
      <c r="L22" s="48"/>
    </row>
    <row r="23" spans="1:12" x14ac:dyDescent="0.2">
      <c r="A23" s="57">
        <v>11</v>
      </c>
      <c r="B23" s="48" t="s">
        <v>734</v>
      </c>
      <c r="C23" s="48">
        <v>2023</v>
      </c>
      <c r="D23" s="48" t="s">
        <v>719</v>
      </c>
      <c r="E23" s="48"/>
      <c r="F23" s="48"/>
      <c r="G23" s="48"/>
      <c r="H23" s="48"/>
      <c r="I23" s="48"/>
      <c r="J23" s="48"/>
      <c r="K23" s="48"/>
      <c r="L23" s="48"/>
    </row>
    <row r="24" spans="1:12" x14ac:dyDescent="0.2">
      <c r="A24" s="57">
        <v>12</v>
      </c>
      <c r="B24" s="48" t="s">
        <v>735</v>
      </c>
      <c r="C24" s="48">
        <v>2022</v>
      </c>
      <c r="D24" s="48" t="s">
        <v>10</v>
      </c>
      <c r="E24" s="48"/>
      <c r="F24" s="48"/>
      <c r="G24" s="48"/>
      <c r="H24" s="48"/>
      <c r="I24" s="48"/>
      <c r="J24" s="48"/>
      <c r="K24" s="48"/>
      <c r="L24" s="48"/>
    </row>
    <row r="25" spans="1:12" x14ac:dyDescent="0.2">
      <c r="A25" s="57">
        <v>13</v>
      </c>
      <c r="B25" s="48" t="s">
        <v>736</v>
      </c>
      <c r="C25" s="48">
        <v>2022</v>
      </c>
      <c r="D25" s="48" t="s">
        <v>11</v>
      </c>
      <c r="E25" s="48"/>
      <c r="F25" s="48"/>
      <c r="G25" s="48"/>
      <c r="H25" s="48"/>
      <c r="I25" s="48"/>
      <c r="J25" s="48"/>
      <c r="K25" s="48"/>
      <c r="L25" s="48"/>
    </row>
    <row r="26" spans="1:12" x14ac:dyDescent="0.2">
      <c r="A26" s="57">
        <v>14</v>
      </c>
      <c r="B26" s="48" t="s">
        <v>737</v>
      </c>
      <c r="C26" s="48">
        <v>2021</v>
      </c>
      <c r="D26" s="48" t="s">
        <v>12</v>
      </c>
      <c r="E26" s="48"/>
      <c r="F26" s="48"/>
      <c r="G26" s="48"/>
      <c r="H26" s="48"/>
      <c r="I26" s="48"/>
      <c r="J26" s="48"/>
      <c r="K26" s="48"/>
      <c r="L26" s="48"/>
    </row>
    <row r="27" spans="1:12" x14ac:dyDescent="0.2">
      <c r="A27" s="57">
        <v>15</v>
      </c>
      <c r="B27" s="48" t="s">
        <v>730</v>
      </c>
      <c r="C27" s="48">
        <v>2021</v>
      </c>
      <c r="D27" s="48" t="s">
        <v>13</v>
      </c>
      <c r="E27" s="48"/>
      <c r="F27" s="48"/>
      <c r="G27" s="48"/>
      <c r="H27" s="48"/>
      <c r="I27" s="48"/>
      <c r="J27" s="48"/>
      <c r="K27" s="48"/>
      <c r="L27" s="48"/>
    </row>
    <row r="28" spans="1:12" x14ac:dyDescent="0.2">
      <c r="A28" s="57">
        <v>16</v>
      </c>
      <c r="B28" s="48" t="s">
        <v>738</v>
      </c>
      <c r="C28" s="48">
        <v>2021</v>
      </c>
      <c r="D28" s="48" t="s">
        <v>288</v>
      </c>
      <c r="E28" s="48"/>
      <c r="F28" s="48"/>
      <c r="G28" s="48"/>
      <c r="H28" s="48"/>
      <c r="I28" s="48"/>
      <c r="J28" s="48"/>
      <c r="K28" s="48"/>
      <c r="L28" s="48"/>
    </row>
    <row r="29" spans="1:12" x14ac:dyDescent="0.2">
      <c r="A29" s="57">
        <v>17</v>
      </c>
      <c r="B29" s="48" t="s">
        <v>739</v>
      </c>
      <c r="C29" s="48">
        <v>2021</v>
      </c>
      <c r="D29" s="48" t="s">
        <v>14</v>
      </c>
      <c r="E29" s="48"/>
      <c r="F29" s="48"/>
      <c r="G29" s="48"/>
      <c r="H29" s="48"/>
      <c r="I29" s="48"/>
      <c r="J29" s="48"/>
      <c r="K29" s="48"/>
      <c r="L29" s="48"/>
    </row>
    <row r="30" spans="1:12" x14ac:dyDescent="0.2">
      <c r="A30" s="57">
        <v>18</v>
      </c>
      <c r="B30" s="48" t="s">
        <v>740</v>
      </c>
      <c r="C30" s="48">
        <v>2019</v>
      </c>
      <c r="D30" s="48" t="s">
        <v>15</v>
      </c>
      <c r="E30" s="48"/>
      <c r="F30" s="48"/>
      <c r="G30" s="48"/>
      <c r="H30" s="48"/>
      <c r="I30" s="48"/>
      <c r="J30" s="48"/>
      <c r="K30" s="48"/>
      <c r="L30" s="48"/>
    </row>
    <row r="31" spans="1:12" x14ac:dyDescent="0.2">
      <c r="A31" s="57">
        <v>19</v>
      </c>
      <c r="B31" s="48" t="s">
        <v>734</v>
      </c>
      <c r="C31" s="48">
        <v>2023</v>
      </c>
      <c r="D31" s="48" t="s">
        <v>16</v>
      </c>
      <c r="E31" s="48"/>
      <c r="F31" s="48"/>
      <c r="G31" s="48"/>
      <c r="H31" s="48"/>
      <c r="I31" s="48"/>
      <c r="J31" s="48"/>
      <c r="K31" s="48"/>
      <c r="L31" s="48"/>
    </row>
    <row r="32" spans="1:12" x14ac:dyDescent="0.2">
      <c r="A32" s="57">
        <v>20</v>
      </c>
      <c r="B32" s="48" t="s">
        <v>740</v>
      </c>
      <c r="C32" s="48">
        <v>2018</v>
      </c>
      <c r="D32" s="48" t="s">
        <v>17</v>
      </c>
      <c r="E32" s="48"/>
      <c r="F32" s="48"/>
      <c r="G32" s="48"/>
      <c r="H32" s="48"/>
      <c r="I32" s="48"/>
      <c r="J32" s="48"/>
      <c r="K32" s="48"/>
      <c r="L32" s="48"/>
    </row>
    <row r="33" spans="1:12" x14ac:dyDescent="0.2">
      <c r="A33" s="57">
        <v>21</v>
      </c>
      <c r="B33" s="48" t="s">
        <v>741</v>
      </c>
      <c r="C33" s="48">
        <v>2023</v>
      </c>
      <c r="D33" s="48" t="s">
        <v>18</v>
      </c>
      <c r="E33" s="48"/>
      <c r="F33" s="48"/>
      <c r="G33" s="48"/>
      <c r="H33" s="48"/>
      <c r="I33" s="48"/>
      <c r="J33" s="48"/>
      <c r="K33" s="48"/>
      <c r="L33" s="48"/>
    </row>
    <row r="34" spans="1:12" x14ac:dyDescent="0.2">
      <c r="A34" s="57">
        <v>22</v>
      </c>
      <c r="B34" s="48" t="s">
        <v>742</v>
      </c>
      <c r="C34" s="48">
        <v>2021</v>
      </c>
      <c r="D34" s="48" t="s">
        <v>19</v>
      </c>
      <c r="E34" s="48"/>
      <c r="F34" s="48"/>
      <c r="G34" s="48"/>
      <c r="H34" s="48"/>
      <c r="I34" s="48"/>
      <c r="J34" s="48"/>
      <c r="K34" s="48"/>
      <c r="L34" s="48"/>
    </row>
    <row r="35" spans="1:12" x14ac:dyDescent="0.2">
      <c r="A35" s="57">
        <v>23</v>
      </c>
      <c r="B35" s="48" t="s">
        <v>743</v>
      </c>
      <c r="C35" s="48">
        <v>2022</v>
      </c>
      <c r="D35" s="48" t="s">
        <v>20</v>
      </c>
      <c r="E35" s="48"/>
      <c r="F35" s="48"/>
      <c r="G35" s="48"/>
      <c r="H35" s="48"/>
      <c r="I35" s="48"/>
      <c r="J35" s="48"/>
      <c r="K35" s="48"/>
      <c r="L35" s="48"/>
    </row>
    <row r="36" spans="1:12" x14ac:dyDescent="0.2">
      <c r="A36" s="57">
        <v>24</v>
      </c>
      <c r="B36" s="48" t="s">
        <v>730</v>
      </c>
      <c r="C36" s="48">
        <v>2023</v>
      </c>
      <c r="D36" s="48" t="s">
        <v>21</v>
      </c>
      <c r="E36" s="48"/>
      <c r="F36" s="48"/>
      <c r="G36" s="48"/>
      <c r="H36" s="48"/>
      <c r="I36" s="48"/>
      <c r="J36" s="48"/>
      <c r="K36" s="48"/>
      <c r="L36" s="48"/>
    </row>
    <row r="37" spans="1:12" x14ac:dyDescent="0.2">
      <c r="A37" s="57">
        <v>25</v>
      </c>
      <c r="B37" s="48" t="s">
        <v>744</v>
      </c>
      <c r="C37" s="48">
        <v>2023</v>
      </c>
      <c r="D37" s="48" t="s">
        <v>22</v>
      </c>
      <c r="E37" s="48"/>
      <c r="F37" s="48"/>
      <c r="G37" s="48"/>
      <c r="H37" s="48"/>
      <c r="I37" s="48"/>
      <c r="J37" s="48"/>
      <c r="K37" s="48"/>
      <c r="L37" s="48"/>
    </row>
    <row r="38" spans="1:12" x14ac:dyDescent="0.2">
      <c r="A38" s="57">
        <v>26</v>
      </c>
      <c r="B38" s="48" t="s">
        <v>740</v>
      </c>
      <c r="C38" s="48">
        <v>2022</v>
      </c>
      <c r="D38" s="48" t="s">
        <v>23</v>
      </c>
      <c r="E38" s="48"/>
      <c r="F38" s="48"/>
      <c r="G38" s="48"/>
      <c r="H38" s="48"/>
      <c r="I38" s="48"/>
      <c r="J38" s="48"/>
      <c r="K38" s="48"/>
      <c r="L38" s="48"/>
    </row>
    <row r="39" spans="1:12" x14ac:dyDescent="0.2">
      <c r="A39" s="57">
        <v>27</v>
      </c>
      <c r="B39" s="48" t="s">
        <v>745</v>
      </c>
      <c r="C39" s="48">
        <v>2021</v>
      </c>
      <c r="D39" s="48" t="s">
        <v>24</v>
      </c>
      <c r="E39" s="48"/>
      <c r="F39" s="48"/>
      <c r="G39" s="48"/>
      <c r="H39" s="48"/>
      <c r="I39" s="48"/>
      <c r="J39" s="48"/>
      <c r="K39" s="48"/>
      <c r="L39" s="48"/>
    </row>
    <row r="40" spans="1:12" x14ac:dyDescent="0.2">
      <c r="A40" s="57">
        <v>28</v>
      </c>
      <c r="B40" s="48" t="s">
        <v>746</v>
      </c>
      <c r="C40" s="48">
        <v>2020</v>
      </c>
      <c r="D40" s="48" t="s">
        <v>25</v>
      </c>
      <c r="E40" s="48"/>
      <c r="F40" s="48"/>
      <c r="G40" s="48"/>
      <c r="H40" s="48"/>
      <c r="I40" s="48"/>
      <c r="J40" s="48"/>
      <c r="K40" s="48"/>
      <c r="L40" s="48"/>
    </row>
    <row r="41" spans="1:12" x14ac:dyDescent="0.2">
      <c r="A41" s="57">
        <v>29</v>
      </c>
      <c r="B41" s="48" t="s">
        <v>731</v>
      </c>
      <c r="C41" s="48">
        <v>2022</v>
      </c>
      <c r="D41" s="48" t="s">
        <v>26</v>
      </c>
      <c r="E41" s="48"/>
      <c r="F41" s="48"/>
      <c r="G41" s="48"/>
      <c r="H41" s="48"/>
      <c r="I41" s="48"/>
      <c r="J41" s="48"/>
      <c r="K41" s="48"/>
      <c r="L41" s="48"/>
    </row>
    <row r="42" spans="1:12" x14ac:dyDescent="0.2">
      <c r="A42" s="57">
        <v>30</v>
      </c>
      <c r="B42" s="48" t="s">
        <v>747</v>
      </c>
      <c r="C42" s="48">
        <v>2024</v>
      </c>
      <c r="D42" s="48" t="s">
        <v>27</v>
      </c>
      <c r="E42" s="48"/>
      <c r="F42" s="48"/>
      <c r="G42" s="48"/>
      <c r="H42" s="48"/>
      <c r="I42" s="48"/>
      <c r="J42" s="48"/>
      <c r="K42" s="48"/>
      <c r="L42" s="48"/>
    </row>
    <row r="43" spans="1:12" x14ac:dyDescent="0.2">
      <c r="A43" s="57">
        <v>31</v>
      </c>
      <c r="B43" s="48" t="s">
        <v>748</v>
      </c>
      <c r="C43" s="48">
        <v>2024</v>
      </c>
      <c r="D43" s="48" t="s">
        <v>28</v>
      </c>
      <c r="E43" s="48"/>
      <c r="F43" s="48"/>
      <c r="G43" s="48"/>
      <c r="H43" s="48"/>
      <c r="I43" s="48"/>
      <c r="J43" s="48"/>
      <c r="K43" s="48"/>
      <c r="L43" s="48"/>
    </row>
    <row r="44" spans="1:12" x14ac:dyDescent="0.2">
      <c r="A44" s="57">
        <v>32</v>
      </c>
      <c r="B44" s="48" t="s">
        <v>749</v>
      </c>
      <c r="C44" s="48">
        <v>2023</v>
      </c>
      <c r="D44" s="48" t="s">
        <v>29</v>
      </c>
      <c r="E44" s="48"/>
      <c r="F44" s="48"/>
      <c r="G44" s="48"/>
      <c r="H44" s="48"/>
      <c r="I44" s="48"/>
      <c r="J44" s="48"/>
      <c r="K44" s="48"/>
      <c r="L44" s="48"/>
    </row>
    <row r="45" spans="1:12" x14ac:dyDescent="0.2">
      <c r="A45" s="57">
        <v>33</v>
      </c>
      <c r="B45" s="48" t="s">
        <v>728</v>
      </c>
      <c r="C45" s="48">
        <v>2020</v>
      </c>
      <c r="D45" s="48" t="s">
        <v>30</v>
      </c>
      <c r="E45" s="48"/>
      <c r="F45" s="48"/>
      <c r="G45" s="48"/>
      <c r="H45" s="48"/>
      <c r="I45" s="48"/>
      <c r="J45" s="48"/>
      <c r="K45" s="48"/>
      <c r="L45" s="48"/>
    </row>
    <row r="46" spans="1:12" x14ac:dyDescent="0.2">
      <c r="A46" s="57">
        <v>34</v>
      </c>
      <c r="B46" s="48" t="s">
        <v>726</v>
      </c>
      <c r="C46" s="48">
        <v>2023</v>
      </c>
      <c r="D46" s="48" t="s">
        <v>31</v>
      </c>
      <c r="E46" s="48"/>
      <c r="F46" s="48"/>
      <c r="G46" s="48"/>
      <c r="H46" s="48"/>
      <c r="I46" s="48"/>
      <c r="J46" s="48"/>
      <c r="K46" s="48"/>
      <c r="L46" s="48"/>
    </row>
    <row r="47" spans="1:12" x14ac:dyDescent="0.2">
      <c r="A47" s="57">
        <v>35</v>
      </c>
      <c r="B47" s="48" t="s">
        <v>744</v>
      </c>
      <c r="C47" s="48">
        <v>2023</v>
      </c>
      <c r="D47" s="48" t="s">
        <v>32</v>
      </c>
      <c r="E47" s="48"/>
      <c r="F47" s="48"/>
      <c r="G47" s="48"/>
      <c r="H47" s="48"/>
      <c r="I47" s="48"/>
      <c r="J47" s="48"/>
      <c r="K47" s="48"/>
      <c r="L47" s="48"/>
    </row>
    <row r="48" spans="1:12" x14ac:dyDescent="0.2">
      <c r="A48" s="57">
        <v>36</v>
      </c>
      <c r="B48" s="48" t="s">
        <v>749</v>
      </c>
      <c r="C48" s="48">
        <v>2019</v>
      </c>
      <c r="D48" s="48" t="s">
        <v>33</v>
      </c>
      <c r="E48" s="48"/>
      <c r="F48" s="48"/>
      <c r="G48" s="48"/>
      <c r="H48" s="48"/>
      <c r="I48" s="48"/>
      <c r="J48" s="48"/>
      <c r="K48" s="48"/>
      <c r="L48" s="48"/>
    </row>
    <row r="49" spans="1:12" x14ac:dyDescent="0.2">
      <c r="A49" s="57">
        <v>37</v>
      </c>
      <c r="B49" s="48" t="s">
        <v>750</v>
      </c>
      <c r="C49" s="48">
        <v>2023</v>
      </c>
      <c r="D49" s="48" t="s">
        <v>34</v>
      </c>
      <c r="E49" s="48"/>
      <c r="F49" s="48"/>
      <c r="G49" s="48"/>
      <c r="H49" s="48"/>
      <c r="I49" s="48"/>
      <c r="J49" s="48"/>
      <c r="K49" s="48"/>
      <c r="L49" s="48"/>
    </row>
    <row r="50" spans="1:12" x14ac:dyDescent="0.2">
      <c r="A50" s="57">
        <v>38</v>
      </c>
      <c r="B50" s="48" t="s">
        <v>731</v>
      </c>
      <c r="C50" s="48">
        <v>2018</v>
      </c>
      <c r="D50" s="48" t="s">
        <v>35</v>
      </c>
      <c r="E50" s="48"/>
      <c r="F50" s="48"/>
      <c r="G50" s="48"/>
      <c r="H50" s="48"/>
      <c r="I50" s="48"/>
      <c r="J50" s="48"/>
      <c r="K50" s="48"/>
      <c r="L50" s="48"/>
    </row>
  </sheetData>
  <phoneticPr fontId="1" type="noConversion"/>
  <hyperlinks>
    <hyperlink ref="B15" r:id="rId1" display="https://www.ncbi.nlm.nih.gov/pmc/articles/PMC9741373/" xr:uid="{00000000-0004-0000-0700-000000000000}"/>
    <hyperlink ref="B18" r:id="rId2" tooltip="Go to Science of The Total Environment on ScienceDirect" display="https://www.sciencedirect.com/journal/science-of-the-total-environment" xr:uid="{00000000-0004-0000-0700-000001000000}"/>
    <hyperlink ref="B21" r:id="rId3" tooltip="Go to Chemosphere on ScienceDirect" display="https://www.sciencedirect.com/journal/chemosphere" xr:uid="{00000000-0004-0000-0700-000002000000}"/>
    <hyperlink ref="B35" r:id="rId4" display="https://www.mdpi.com/journal/water" xr:uid="{00000000-0004-0000-0700-000003000000}"/>
    <hyperlink ref="B37" r:id="rId5" tooltip="Go to Journal of Hazardous Materials on ScienceDirect" display="https://www.sciencedirect.com/journal/journal-of-hazardous-materials" xr:uid="{00000000-0004-0000-0700-000004000000}"/>
    <hyperlink ref="B39" r:id="rId6" tooltip="Go to Environmental Pollution on ScienceDirect" display="https://www.sciencedirect.com/journal/environmental-pollution" xr:uid="{00000000-0004-0000-0700-000005000000}"/>
    <hyperlink ref="B41" r:id="rId7" tooltip="Go to Science of The Total Environment on ScienceDirect" display="https://www.sciencedirect.com/journal/science-of-the-total-environment" xr:uid="{00000000-0004-0000-0700-000006000000}"/>
    <hyperlink ref="B42" r:id="rId8" tooltip="Go to Environment International on ScienceDirect" display="https://www.sciencedirect.com/journal/environment-international" xr:uid="{00000000-0004-0000-0700-000007000000}"/>
    <hyperlink ref="B43" r:id="rId9" display="https://pubs.acs.org/journal/ancac3" xr:uid="{00000000-0004-0000-0700-000008000000}"/>
    <hyperlink ref="B44" r:id="rId10" display="https://pubs.acs.org/journal/esthag" xr:uid="{00000000-0004-0000-0700-000009000000}"/>
    <hyperlink ref="B45" r:id="rId11" tooltip="Go to Chemosphere on ScienceDirect" display="https://www.sciencedirect.com/journal/chemosphere" xr:uid="{00000000-0004-0000-0700-00000A000000}"/>
    <hyperlink ref="B47" r:id="rId12" tooltip="Go to Journal of Hazardous Materials on ScienceDirect" display="https://www.sciencedirect.com/journal/journal-of-hazardous-materials" xr:uid="{00000000-0004-0000-0700-00000B000000}"/>
    <hyperlink ref="B48" r:id="rId13" display="https://pubs.acs.org/journal/esthag" xr:uid="{00000000-0004-0000-0700-00000C000000}"/>
    <hyperlink ref="B49" r:id="rId14" tooltip="Go to Micron on ScienceDirect" display="https://www.sciencedirect.com/journal/micron" xr:uid="{00000000-0004-0000-0700-00000D000000}"/>
    <hyperlink ref="B50" r:id="rId15" tooltip="Go to Science of The Total Environment on ScienceDirect" display="https://www.sciencedirect.com/journal/science-of-the-total-environment" xr:uid="{00000000-0004-0000-0700-00000E000000}"/>
    <hyperlink ref="E5" r:id="rId16" display="mailto:wanxia@ahu.edu.cn" xr:uid="{E69E717B-7093-4986-8D10-1EDCDD87B8D2}"/>
  </hyperlinks>
  <pageMargins left="0.7" right="0.7" top="0.75" bottom="0.75" header="0.3" footer="0.3"/>
  <pageSetup paperSize="9" orientation="portrait" verticalDpi="30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8"/>
  <sheetViews>
    <sheetView zoomScale="85" zoomScaleNormal="85" workbookViewId="0">
      <selection activeCell="C10" sqref="C10"/>
    </sheetView>
  </sheetViews>
  <sheetFormatPr defaultRowHeight="14.25" x14ac:dyDescent="0.2"/>
  <cols>
    <col min="1" max="1" width="17.25" customWidth="1"/>
    <col min="3" max="3" width="15.5" customWidth="1"/>
    <col min="8" max="8" width="11.5" customWidth="1"/>
  </cols>
  <sheetData>
    <row r="1" spans="1:11" s="51" customFormat="1" ht="18.75" x14ac:dyDescent="0.2">
      <c r="A1" s="53" t="s">
        <v>763</v>
      </c>
      <c r="B1" s="53" t="s">
        <v>764</v>
      </c>
      <c r="C1" s="53" t="s">
        <v>765</v>
      </c>
      <c r="D1" s="53" t="s">
        <v>768</v>
      </c>
      <c r="E1" s="53" t="s">
        <v>124</v>
      </c>
      <c r="F1" s="53" t="s">
        <v>148</v>
      </c>
      <c r="G1" s="53" t="s">
        <v>202</v>
      </c>
      <c r="H1" s="53" t="s">
        <v>766</v>
      </c>
      <c r="I1" s="53" t="s">
        <v>767</v>
      </c>
      <c r="J1" s="53" t="s">
        <v>769</v>
      </c>
      <c r="K1" s="53" t="s">
        <v>770</v>
      </c>
    </row>
    <row r="2" spans="1:11" s="51" customFormat="1" ht="18.75" x14ac:dyDescent="0.2">
      <c r="A2" s="51" t="s">
        <v>64</v>
      </c>
      <c r="B2" s="50">
        <v>15</v>
      </c>
      <c r="C2" s="50">
        <v>1</v>
      </c>
      <c r="D2" s="50">
        <v>2</v>
      </c>
      <c r="E2" s="50">
        <v>1</v>
      </c>
      <c r="F2" s="50">
        <v>2</v>
      </c>
      <c r="G2" s="50">
        <v>3</v>
      </c>
      <c r="H2" s="50">
        <v>2</v>
      </c>
      <c r="I2" s="50">
        <v>6</v>
      </c>
      <c r="J2" s="50">
        <v>0</v>
      </c>
      <c r="K2" s="50">
        <v>1</v>
      </c>
    </row>
    <row r="3" spans="1:11" s="51" customFormat="1" ht="18.75" x14ac:dyDescent="0.2">
      <c r="A3" s="51" t="s">
        <v>509</v>
      </c>
      <c r="B3" s="50">
        <v>4</v>
      </c>
      <c r="C3" s="50">
        <v>0</v>
      </c>
      <c r="D3" s="50">
        <v>0</v>
      </c>
      <c r="E3" s="50">
        <v>0</v>
      </c>
      <c r="F3" s="50">
        <v>1</v>
      </c>
      <c r="G3" s="50">
        <v>0</v>
      </c>
      <c r="H3" s="50">
        <v>0</v>
      </c>
      <c r="I3" s="50">
        <v>0</v>
      </c>
      <c r="J3" s="50">
        <v>1</v>
      </c>
      <c r="K3" s="50">
        <v>0</v>
      </c>
    </row>
    <row r="4" spans="1:11" s="51" customFormat="1" ht="18.75" x14ac:dyDescent="0.2"/>
    <row r="5" spans="1:11" s="51" customFormat="1" ht="18.75" x14ac:dyDescent="0.2"/>
    <row r="6" spans="1:11" s="51" customFormat="1" ht="18.75" x14ac:dyDescent="0.2"/>
    <row r="7" spans="1:11" s="51" customFormat="1" ht="18.75" x14ac:dyDescent="0.2"/>
    <row r="8" spans="1:11" s="51" customFormat="1" ht="18.75" x14ac:dyDescent="0.2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9"/>
  <sheetViews>
    <sheetView zoomScale="130" zoomScaleNormal="130" workbookViewId="0">
      <pane ySplit="1" topLeftCell="A47" activePane="bottomLeft" state="frozen"/>
      <selection pane="bottomLeft" activeCell="F15" sqref="F15"/>
    </sheetView>
  </sheetViews>
  <sheetFormatPr defaultRowHeight="14.25" x14ac:dyDescent="0.2"/>
  <cols>
    <col min="23" max="23" width="9.875" bestFit="1" customWidth="1"/>
    <col min="24" max="24" width="9.875" customWidth="1"/>
    <col min="30" max="30" width="13.125" customWidth="1"/>
    <col min="31" max="31" width="21.375" customWidth="1"/>
    <col min="32" max="32" width="13.375" customWidth="1"/>
  </cols>
  <sheetData>
    <row r="1" spans="1:32" s="2" customFormat="1" ht="1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58</v>
      </c>
      <c r="F1" s="1" t="s">
        <v>660</v>
      </c>
      <c r="G1" s="1" t="s">
        <v>68</v>
      </c>
      <c r="H1" s="1" t="s">
        <v>92</v>
      </c>
      <c r="I1" s="1" t="s">
        <v>40</v>
      </c>
      <c r="J1" s="1" t="s">
        <v>41</v>
      </c>
      <c r="K1" s="1" t="s">
        <v>126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/>
      <c r="W1" s="1" t="s">
        <v>714</v>
      </c>
      <c r="X1" s="1" t="s">
        <v>722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59</v>
      </c>
      <c r="AF1" s="1" t="s">
        <v>61</v>
      </c>
    </row>
    <row r="2" spans="1:32" s="3" customFormat="1" ht="20.25" customHeight="1" x14ac:dyDescent="0.2">
      <c r="A2" s="3">
        <v>1</v>
      </c>
      <c r="B2" s="3">
        <v>1</v>
      </c>
      <c r="C2" s="3" t="s">
        <v>1</v>
      </c>
      <c r="D2" s="3" t="s">
        <v>62</v>
      </c>
      <c r="E2" s="3" t="s">
        <v>63</v>
      </c>
      <c r="F2" s="3" t="s">
        <v>661</v>
      </c>
      <c r="G2" s="3" t="s">
        <v>69</v>
      </c>
      <c r="H2" s="3" t="s">
        <v>93</v>
      </c>
      <c r="I2" s="3" t="s">
        <v>66</v>
      </c>
      <c r="J2" s="3">
        <v>1</v>
      </c>
      <c r="K2" s="3" t="s">
        <v>775</v>
      </c>
      <c r="L2" s="3">
        <v>10</v>
      </c>
      <c r="M2" s="3">
        <v>2.8709899999999999</v>
      </c>
      <c r="N2" s="3">
        <v>2.03911</v>
      </c>
      <c r="O2" s="3">
        <f xml:space="preserve"> N2*SQRT(L2)</f>
        <v>6.4482319996259445</v>
      </c>
      <c r="P2" s="3">
        <v>10</v>
      </c>
      <c r="Q2" s="3">
        <v>48.704529999999998</v>
      </c>
      <c r="R2" s="3">
        <v>12.28098</v>
      </c>
      <c r="S2" s="3">
        <f t="shared" ref="S2:S66" si="0" xml:space="preserve"> R2*SQRT(P2)</f>
        <v>38.835868698974664</v>
      </c>
      <c r="T2" s="3">
        <v>10</v>
      </c>
      <c r="U2" s="3" t="s">
        <v>715</v>
      </c>
      <c r="V2" s="3">
        <v>5.0000000000000001E-3</v>
      </c>
      <c r="W2" s="3">
        <f t="shared" ref="W2:W7" si="1">V2 * 10^-3</f>
        <v>5.0000000000000004E-6</v>
      </c>
      <c r="X2" s="3" t="str">
        <f>IF(W2&lt;=1, "Low", IF(W2&lt;10, "Medium", "High"))</f>
        <v>Low</v>
      </c>
      <c r="Y2" s="3" t="s">
        <v>117</v>
      </c>
      <c r="Z2" s="3">
        <f>LN(M2/Q2)</f>
        <v>-2.8311151262171568</v>
      </c>
      <c r="AA2" s="3">
        <f t="shared" ref="AA2:AA66" si="2">(O2^2)/(L2*M2^2)</f>
        <v>0.50444979437497628</v>
      </c>
      <c r="AB2" s="3">
        <f t="shared" ref="AB2:AB66" si="3">(S2^2)/(P2*Q2^2)</f>
        <v>6.3580997145890925E-2</v>
      </c>
      <c r="AC2" s="3">
        <f t="shared" ref="AC2:AC66" si="4">SUM(AA2,AB2)</f>
        <v>0.56803079152086722</v>
      </c>
      <c r="AD2" s="3" t="s">
        <v>65</v>
      </c>
      <c r="AE2" s="3" t="s">
        <v>60</v>
      </c>
      <c r="AF2" s="3" t="s">
        <v>687</v>
      </c>
    </row>
    <row r="3" spans="1:32" s="3" customFormat="1" ht="15.75" x14ac:dyDescent="0.2">
      <c r="A3" s="3">
        <v>2</v>
      </c>
      <c r="B3" s="3">
        <v>1</v>
      </c>
      <c r="C3" s="3" t="s">
        <v>1</v>
      </c>
      <c r="D3" s="3" t="s">
        <v>62</v>
      </c>
      <c r="E3" s="3" t="s">
        <v>63</v>
      </c>
      <c r="F3" s="3" t="s">
        <v>64</v>
      </c>
      <c r="G3" s="3" t="s">
        <v>69</v>
      </c>
      <c r="H3" s="3" t="s">
        <v>93</v>
      </c>
      <c r="I3" s="3" t="s">
        <v>66</v>
      </c>
      <c r="J3" s="3">
        <v>1</v>
      </c>
      <c r="K3" s="3" t="s">
        <v>775</v>
      </c>
      <c r="L3" s="3">
        <v>10</v>
      </c>
      <c r="M3" s="3">
        <v>3.5623999999999998</v>
      </c>
      <c r="N3" s="3">
        <v>1.8073799999999998</v>
      </c>
      <c r="O3" s="3">
        <f xml:space="preserve"> N3*SQRT(L3)</f>
        <v>5.7154373974351254</v>
      </c>
      <c r="P3" s="3">
        <v>10</v>
      </c>
      <c r="Q3" s="3">
        <v>40.501759999999997</v>
      </c>
      <c r="R3" s="3">
        <v>6.6734399999999994</v>
      </c>
      <c r="S3" s="3">
        <f t="shared" si="0"/>
        <v>21.10327022847407</v>
      </c>
      <c r="T3" s="3">
        <v>10</v>
      </c>
      <c r="U3" s="3" t="s">
        <v>71</v>
      </c>
      <c r="V3" s="3">
        <v>0.05</v>
      </c>
      <c r="W3" s="3">
        <f t="shared" si="1"/>
        <v>5.0000000000000002E-5</v>
      </c>
      <c r="X3" s="3" t="str">
        <f t="shared" ref="X3:X66" si="5">IF(W3&lt;=1, "Low", IF(W3&lt;10, "Medium", "High"))</f>
        <v>Low</v>
      </c>
      <c r="Y3" s="3" t="s">
        <v>117</v>
      </c>
      <c r="Z3" s="3">
        <f t="shared" ref="Z3:Z66" si="6">LN(M3/Q3)</f>
        <v>-2.4309109549330423</v>
      </c>
      <c r="AA3" s="3">
        <f t="shared" si="2"/>
        <v>0.25740298569776532</v>
      </c>
      <c r="AB3" s="3">
        <f t="shared" si="3"/>
        <v>2.7148868164522565E-2</v>
      </c>
      <c r="AC3" s="3">
        <f t="shared" si="4"/>
        <v>0.28455185386228787</v>
      </c>
      <c r="AD3" s="3" t="s">
        <v>65</v>
      </c>
      <c r="AF3" s="3" t="s">
        <v>67</v>
      </c>
    </row>
    <row r="4" spans="1:32" s="3" customFormat="1" ht="15.75" x14ac:dyDescent="0.2">
      <c r="A4" s="3">
        <v>3</v>
      </c>
      <c r="B4" s="3">
        <v>1</v>
      </c>
      <c r="C4" s="3" t="s">
        <v>1</v>
      </c>
      <c r="D4" s="3" t="s">
        <v>62</v>
      </c>
      <c r="E4" s="3" t="s">
        <v>63</v>
      </c>
      <c r="F4" s="3" t="s">
        <v>64</v>
      </c>
      <c r="G4" s="3" t="s">
        <v>69</v>
      </c>
      <c r="H4" s="3" t="s">
        <v>93</v>
      </c>
      <c r="I4" s="3" t="s">
        <v>66</v>
      </c>
      <c r="J4" s="3">
        <v>1</v>
      </c>
      <c r="K4" s="3" t="s">
        <v>775</v>
      </c>
      <c r="L4" s="3">
        <v>10</v>
      </c>
      <c r="M4" s="3">
        <v>6.9492000000000003</v>
      </c>
      <c r="N4" s="3">
        <v>3.3367200000000006</v>
      </c>
      <c r="O4" s="3">
        <f t="shared" ref="O4:O66" si="7" xml:space="preserve"> N4*SQRT(L4)</f>
        <v>10.551635114237037</v>
      </c>
      <c r="P4" s="3">
        <v>10</v>
      </c>
      <c r="Q4" s="3">
        <v>37.165050000000001</v>
      </c>
      <c r="R4" s="3">
        <v>6.6734299999999962</v>
      </c>
      <c r="S4" s="3">
        <f t="shared" si="0"/>
        <v>21.103238605697456</v>
      </c>
      <c r="T4" s="3">
        <v>10</v>
      </c>
      <c r="U4" s="3" t="s">
        <v>72</v>
      </c>
      <c r="V4" s="3">
        <v>0.5</v>
      </c>
      <c r="W4" s="3">
        <f t="shared" si="1"/>
        <v>5.0000000000000001E-4</v>
      </c>
      <c r="X4" s="3" t="str">
        <f t="shared" si="5"/>
        <v>Low</v>
      </c>
      <c r="Y4" s="3" t="s">
        <v>117</v>
      </c>
      <c r="Z4" s="3">
        <f t="shared" si="6"/>
        <v>-1.6767422584905538</v>
      </c>
      <c r="AA4" s="3">
        <f t="shared" si="2"/>
        <v>0.23055253775821646</v>
      </c>
      <c r="AB4" s="3">
        <f t="shared" si="3"/>
        <v>3.2242505001665804E-2</v>
      </c>
      <c r="AC4" s="3">
        <f t="shared" si="4"/>
        <v>0.26279504275988225</v>
      </c>
      <c r="AD4" s="3" t="s">
        <v>65</v>
      </c>
      <c r="AF4" s="3" t="s">
        <v>67</v>
      </c>
    </row>
    <row r="5" spans="1:32" s="3" customFormat="1" ht="15.75" x14ac:dyDescent="0.2">
      <c r="A5" s="3">
        <v>4</v>
      </c>
      <c r="B5" s="3">
        <v>1</v>
      </c>
      <c r="C5" s="3" t="s">
        <v>1</v>
      </c>
      <c r="D5" s="3" t="s">
        <v>62</v>
      </c>
      <c r="E5" s="3" t="s">
        <v>63</v>
      </c>
      <c r="F5" s="3" t="s">
        <v>64</v>
      </c>
      <c r="G5" s="3" t="s">
        <v>73</v>
      </c>
      <c r="H5" s="3" t="s">
        <v>93</v>
      </c>
      <c r="I5" s="3" t="s">
        <v>66</v>
      </c>
      <c r="J5" s="3">
        <v>1</v>
      </c>
      <c r="K5" s="3" t="s">
        <v>775</v>
      </c>
      <c r="L5" s="3">
        <v>10</v>
      </c>
      <c r="M5" s="3">
        <v>5.2</v>
      </c>
      <c r="N5" s="3">
        <v>0</v>
      </c>
      <c r="O5" s="3">
        <f t="shared" si="7"/>
        <v>0</v>
      </c>
      <c r="P5" s="3">
        <v>10</v>
      </c>
      <c r="Q5" s="3">
        <v>41.908230000000003</v>
      </c>
      <c r="R5" s="3">
        <v>6.692699999999995</v>
      </c>
      <c r="S5" s="3">
        <f t="shared" si="0"/>
        <v>21.164175696208897</v>
      </c>
      <c r="T5" s="3">
        <v>10</v>
      </c>
      <c r="U5" s="3" t="s">
        <v>70</v>
      </c>
      <c r="V5" s="3">
        <v>5.0000000000000001E-3</v>
      </c>
      <c r="W5" s="3">
        <f t="shared" si="1"/>
        <v>5.0000000000000004E-6</v>
      </c>
      <c r="X5" s="3" t="str">
        <f t="shared" si="5"/>
        <v>Low</v>
      </c>
      <c r="Y5" s="3" t="s">
        <v>117</v>
      </c>
      <c r="Z5" s="3">
        <f t="shared" si="6"/>
        <v>-2.0868236021005511</v>
      </c>
      <c r="AA5" s="3">
        <f t="shared" si="2"/>
        <v>0</v>
      </c>
      <c r="AB5" s="3">
        <f t="shared" si="3"/>
        <v>2.5503752136184041E-2</v>
      </c>
      <c r="AC5" s="3">
        <f t="shared" si="4"/>
        <v>2.5503752136184041E-2</v>
      </c>
      <c r="AD5" s="3" t="s">
        <v>65</v>
      </c>
      <c r="AF5" s="3" t="s">
        <v>67</v>
      </c>
    </row>
    <row r="6" spans="1:32" s="3" customFormat="1" ht="15.75" x14ac:dyDescent="0.2">
      <c r="A6" s="3">
        <v>5</v>
      </c>
      <c r="B6" s="3">
        <v>1</v>
      </c>
      <c r="C6" s="3" t="s">
        <v>1</v>
      </c>
      <c r="D6" s="3" t="s">
        <v>62</v>
      </c>
      <c r="E6" s="3" t="s">
        <v>63</v>
      </c>
      <c r="F6" s="3" t="s">
        <v>64</v>
      </c>
      <c r="G6" s="3" t="s">
        <v>73</v>
      </c>
      <c r="H6" s="3" t="s">
        <v>93</v>
      </c>
      <c r="I6" s="3" t="s">
        <v>66</v>
      </c>
      <c r="J6" s="3">
        <v>1</v>
      </c>
      <c r="K6" s="3" t="s">
        <v>775</v>
      </c>
      <c r="L6" s="3">
        <v>10</v>
      </c>
      <c r="M6" s="3">
        <v>6.5</v>
      </c>
      <c r="N6" s="3">
        <v>0</v>
      </c>
      <c r="O6" s="3">
        <f t="shared" si="7"/>
        <v>0</v>
      </c>
      <c r="P6" s="3">
        <v>10</v>
      </c>
      <c r="Q6" s="3">
        <v>44.196930000000002</v>
      </c>
      <c r="R6" s="3">
        <v>5.3749699999999976</v>
      </c>
      <c r="S6" s="3">
        <f t="shared" si="0"/>
        <v>16.997147555075227</v>
      </c>
      <c r="T6" s="3">
        <v>10</v>
      </c>
      <c r="U6" s="3" t="s">
        <v>71</v>
      </c>
      <c r="V6" s="3">
        <v>0.05</v>
      </c>
      <c r="W6" s="3">
        <f t="shared" si="1"/>
        <v>5.0000000000000002E-5</v>
      </c>
      <c r="X6" s="3" t="str">
        <f t="shared" si="5"/>
        <v>Low</v>
      </c>
      <c r="Y6" s="3" t="s">
        <v>117</v>
      </c>
      <c r="Z6" s="3">
        <f t="shared" si="6"/>
        <v>-1.9168531527562365</v>
      </c>
      <c r="AA6" s="3">
        <f t="shared" si="2"/>
        <v>0</v>
      </c>
      <c r="AB6" s="3">
        <f t="shared" si="3"/>
        <v>1.4789990063332602E-2</v>
      </c>
      <c r="AC6" s="3">
        <f t="shared" si="4"/>
        <v>1.4789990063332602E-2</v>
      </c>
      <c r="AD6" s="3" t="s">
        <v>65</v>
      </c>
      <c r="AF6" s="3" t="s">
        <v>67</v>
      </c>
    </row>
    <row r="7" spans="1:32" s="3" customFormat="1" ht="15.75" x14ac:dyDescent="0.2">
      <c r="A7" s="3">
        <v>6</v>
      </c>
      <c r="B7" s="3">
        <v>1</v>
      </c>
      <c r="C7" s="3" t="s">
        <v>1</v>
      </c>
      <c r="D7" s="3" t="s">
        <v>62</v>
      </c>
      <c r="E7" s="3" t="s">
        <v>63</v>
      </c>
      <c r="F7" s="3" t="s">
        <v>64</v>
      </c>
      <c r="G7" s="3" t="s">
        <v>73</v>
      </c>
      <c r="H7" s="3" t="s">
        <v>93</v>
      </c>
      <c r="I7" s="3" t="s">
        <v>66</v>
      </c>
      <c r="J7" s="3">
        <v>1</v>
      </c>
      <c r="K7" s="3" t="s">
        <v>775</v>
      </c>
      <c r="L7" s="3">
        <v>10</v>
      </c>
      <c r="M7" s="3">
        <v>2.5314000000000001</v>
      </c>
      <c r="N7" s="3">
        <v>0.93628999999999984</v>
      </c>
      <c r="O7" s="3">
        <f t="shared" si="7"/>
        <v>2.9608089504390516</v>
      </c>
      <c r="P7" s="3">
        <v>10</v>
      </c>
      <c r="Q7" s="3">
        <v>29.6325</v>
      </c>
      <c r="R7" s="3">
        <v>4.7854499999999973</v>
      </c>
      <c r="S7" s="3">
        <f t="shared" si="0"/>
        <v>15.132921628852763</v>
      </c>
      <c r="T7" s="3">
        <v>10</v>
      </c>
      <c r="U7" s="3" t="s">
        <v>72</v>
      </c>
      <c r="V7" s="3">
        <v>0.5</v>
      </c>
      <c r="W7" s="3">
        <f t="shared" si="1"/>
        <v>5.0000000000000001E-4</v>
      </c>
      <c r="X7" s="3" t="str">
        <f t="shared" si="5"/>
        <v>Low</v>
      </c>
      <c r="Y7" s="3" t="s">
        <v>117</v>
      </c>
      <c r="Z7" s="3">
        <f t="shared" si="6"/>
        <v>-2.4600992225953076</v>
      </c>
      <c r="AA7" s="3">
        <f t="shared" si="2"/>
        <v>0.1368041330883315</v>
      </c>
      <c r="AB7" s="3">
        <f t="shared" si="3"/>
        <v>2.6080083631419823E-2</v>
      </c>
      <c r="AC7" s="3">
        <f t="shared" si="4"/>
        <v>0.16288421671975134</v>
      </c>
      <c r="AD7" s="3" t="s">
        <v>65</v>
      </c>
      <c r="AF7" s="3" t="s">
        <v>67</v>
      </c>
    </row>
    <row r="8" spans="1:32" s="4" customFormat="1" ht="15.75" x14ac:dyDescent="0.2">
      <c r="A8" s="4">
        <v>7</v>
      </c>
      <c r="B8" s="4">
        <v>2</v>
      </c>
      <c r="C8" s="4" t="s">
        <v>2</v>
      </c>
      <c r="D8" s="4" t="s">
        <v>79</v>
      </c>
      <c r="E8" s="4" t="s">
        <v>80</v>
      </c>
      <c r="F8" s="4" t="s">
        <v>64</v>
      </c>
      <c r="G8" s="4" t="s">
        <v>799</v>
      </c>
      <c r="H8" s="4" t="s">
        <v>94</v>
      </c>
      <c r="I8" s="4" t="s">
        <v>66</v>
      </c>
      <c r="J8" s="4">
        <v>2</v>
      </c>
      <c r="K8" s="4" t="s">
        <v>775</v>
      </c>
      <c r="L8" s="4">
        <v>4</v>
      </c>
      <c r="M8" s="4">
        <v>89.528760000000005</v>
      </c>
      <c r="N8" s="4">
        <v>16.423789999999997</v>
      </c>
      <c r="O8" s="4">
        <f t="shared" si="7"/>
        <v>32.847579999999994</v>
      </c>
      <c r="P8" s="4">
        <v>4</v>
      </c>
      <c r="Q8" s="4">
        <v>29.20683</v>
      </c>
      <c r="R8" s="4">
        <v>12.774049999999999</v>
      </c>
      <c r="S8" s="4">
        <f t="shared" si="0"/>
        <v>25.548099999999998</v>
      </c>
      <c r="T8" s="4">
        <v>4</v>
      </c>
      <c r="U8" s="4" t="s">
        <v>85</v>
      </c>
      <c r="V8" s="4">
        <v>750</v>
      </c>
      <c r="W8" s="4">
        <f>V8 / 1000</f>
        <v>0.75</v>
      </c>
      <c r="X8" s="4" t="str">
        <f t="shared" si="5"/>
        <v>Low</v>
      </c>
      <c r="Y8" s="4" t="s">
        <v>90</v>
      </c>
      <c r="Z8" s="4">
        <f t="shared" si="6"/>
        <v>1.1201573284115176</v>
      </c>
      <c r="AA8" s="4">
        <f t="shared" si="2"/>
        <v>3.3652832807860966E-2</v>
      </c>
      <c r="AB8" s="4">
        <f t="shared" si="3"/>
        <v>0.19128828689428332</v>
      </c>
      <c r="AC8" s="4">
        <f t="shared" si="4"/>
        <v>0.22494111970214428</v>
      </c>
      <c r="AD8" s="4" t="s">
        <v>97</v>
      </c>
      <c r="AF8" s="4" t="s">
        <v>544</v>
      </c>
    </row>
    <row r="9" spans="1:32" s="5" customFormat="1" ht="15" customHeight="1" x14ac:dyDescent="0.2">
      <c r="A9" s="5">
        <v>8</v>
      </c>
      <c r="B9" s="5">
        <v>3</v>
      </c>
      <c r="C9" s="5" t="s">
        <v>3</v>
      </c>
      <c r="D9" s="5" t="s">
        <v>98</v>
      </c>
      <c r="E9" s="5" t="s">
        <v>99</v>
      </c>
      <c r="F9" s="5" t="s">
        <v>64</v>
      </c>
      <c r="G9" s="5" t="s">
        <v>107</v>
      </c>
      <c r="H9" s="5" t="s">
        <v>93</v>
      </c>
      <c r="I9" s="5" t="s">
        <v>66</v>
      </c>
      <c r="J9" s="5">
        <v>3</v>
      </c>
      <c r="K9" s="5" t="s">
        <v>775</v>
      </c>
      <c r="L9" s="5">
        <v>3</v>
      </c>
      <c r="M9" s="5">
        <v>46.461129999999997</v>
      </c>
      <c r="N9" s="5">
        <v>20.145530000000008</v>
      </c>
      <c r="O9" s="5">
        <f t="shared" si="7"/>
        <v>34.893081505403053</v>
      </c>
      <c r="P9" s="5">
        <v>3</v>
      </c>
      <c r="Q9" s="5">
        <v>11.06254</v>
      </c>
      <c r="R9" s="5">
        <v>6.3314499999999985</v>
      </c>
      <c r="S9" s="5">
        <f t="shared" si="0"/>
        <v>10.966393085581965</v>
      </c>
      <c r="T9" s="5">
        <v>3</v>
      </c>
      <c r="U9" s="5" t="s">
        <v>101</v>
      </c>
      <c r="V9" s="5">
        <v>0.1</v>
      </c>
      <c r="W9" s="5">
        <f>V9 * 1</f>
        <v>0.1</v>
      </c>
      <c r="X9" s="5" t="str">
        <f t="shared" si="5"/>
        <v>Low</v>
      </c>
      <c r="Y9" s="5" t="s">
        <v>112</v>
      </c>
      <c r="Z9" s="5">
        <f t="shared" si="6"/>
        <v>1.4350514228971851</v>
      </c>
      <c r="AA9" s="5">
        <f t="shared" si="2"/>
        <v>0.18800866195636426</v>
      </c>
      <c r="AB9" s="5">
        <f t="shared" si="3"/>
        <v>0.32756436902302583</v>
      </c>
      <c r="AC9" s="5">
        <f t="shared" si="4"/>
        <v>0.51557303097939011</v>
      </c>
      <c r="AD9" s="5" t="s">
        <v>100</v>
      </c>
      <c r="AF9" s="5" t="s">
        <v>688</v>
      </c>
    </row>
    <row r="10" spans="1:32" s="5" customFormat="1" ht="15.75" x14ac:dyDescent="0.2">
      <c r="A10" s="5">
        <v>9</v>
      </c>
      <c r="B10" s="5">
        <v>3</v>
      </c>
      <c r="C10" s="5" t="s">
        <v>3</v>
      </c>
      <c r="D10" s="5" t="s">
        <v>98</v>
      </c>
      <c r="E10" s="5" t="s">
        <v>99</v>
      </c>
      <c r="F10" s="5" t="s">
        <v>64</v>
      </c>
      <c r="G10" s="5" t="s">
        <v>107</v>
      </c>
      <c r="H10" s="5" t="s">
        <v>93</v>
      </c>
      <c r="I10" s="5" t="s">
        <v>66</v>
      </c>
      <c r="J10" s="5">
        <v>3</v>
      </c>
      <c r="K10" s="5" t="s">
        <v>775</v>
      </c>
      <c r="L10" s="5">
        <v>3</v>
      </c>
      <c r="M10" s="5">
        <v>8.7601899999999997</v>
      </c>
      <c r="N10" s="5">
        <v>0.57559000000000005</v>
      </c>
      <c r="O10" s="5">
        <f t="shared" si="7"/>
        <v>0.99695112432857014</v>
      </c>
      <c r="P10" s="5">
        <v>3</v>
      </c>
      <c r="Q10" s="5">
        <v>11.06254</v>
      </c>
      <c r="R10" s="5">
        <v>6.3314499999999985</v>
      </c>
      <c r="S10" s="5">
        <f t="shared" si="0"/>
        <v>10.966393085581965</v>
      </c>
      <c r="T10" s="5">
        <v>3</v>
      </c>
      <c r="U10" s="5" t="s">
        <v>102</v>
      </c>
      <c r="V10" s="5">
        <v>1</v>
      </c>
      <c r="W10" s="5">
        <f t="shared" ref="W10:W16" si="8">V10 * 1</f>
        <v>1</v>
      </c>
      <c r="X10" s="5" t="str">
        <f t="shared" si="5"/>
        <v>Low</v>
      </c>
      <c r="Y10" s="5" t="s">
        <v>112</v>
      </c>
      <c r="Z10" s="5">
        <f t="shared" si="6"/>
        <v>-0.23334703193591672</v>
      </c>
      <c r="AA10" s="5">
        <f t="shared" si="2"/>
        <v>4.3171727671890009E-3</v>
      </c>
      <c r="AB10" s="5">
        <f t="shared" si="3"/>
        <v>0.32756436902302583</v>
      </c>
      <c r="AC10" s="5">
        <f t="shared" si="4"/>
        <v>0.33188154179021484</v>
      </c>
      <c r="AD10" s="5" t="s">
        <v>100</v>
      </c>
      <c r="AF10" s="5" t="s">
        <v>111</v>
      </c>
    </row>
    <row r="11" spans="1:32" s="5" customFormat="1" ht="15.75" x14ac:dyDescent="0.2">
      <c r="A11" s="5">
        <v>10</v>
      </c>
      <c r="B11" s="5">
        <v>3</v>
      </c>
      <c r="C11" s="5" t="s">
        <v>3</v>
      </c>
      <c r="D11" s="5" t="s">
        <v>98</v>
      </c>
      <c r="E11" s="5" t="s">
        <v>99</v>
      </c>
      <c r="F11" s="5" t="s">
        <v>64</v>
      </c>
      <c r="G11" s="5" t="s">
        <v>107</v>
      </c>
      <c r="H11" s="5" t="s">
        <v>93</v>
      </c>
      <c r="I11" s="5" t="s">
        <v>66</v>
      </c>
      <c r="J11" s="5">
        <v>3</v>
      </c>
      <c r="K11" s="5" t="s">
        <v>775</v>
      </c>
      <c r="L11" s="5">
        <v>3</v>
      </c>
      <c r="M11" s="5">
        <v>10.48695</v>
      </c>
      <c r="N11" s="5">
        <v>4.6046999999999993</v>
      </c>
      <c r="O11" s="5">
        <f t="shared" si="7"/>
        <v>7.9755743536124077</v>
      </c>
      <c r="P11" s="5">
        <v>3</v>
      </c>
      <c r="Q11" s="5">
        <v>11.06254</v>
      </c>
      <c r="R11" s="5">
        <v>6.3314499999999985</v>
      </c>
      <c r="S11" s="5">
        <f t="shared" si="0"/>
        <v>10.966393085581965</v>
      </c>
      <c r="T11" s="5">
        <v>3</v>
      </c>
      <c r="U11" s="5" t="s">
        <v>103</v>
      </c>
      <c r="V11" s="5">
        <v>10</v>
      </c>
      <c r="W11" s="5">
        <f t="shared" si="8"/>
        <v>10</v>
      </c>
      <c r="X11" s="5" t="str">
        <f t="shared" si="5"/>
        <v>High</v>
      </c>
      <c r="Y11" s="5" t="s">
        <v>112</v>
      </c>
      <c r="Z11" s="5">
        <f t="shared" si="6"/>
        <v>-5.3432999113579849E-2</v>
      </c>
      <c r="AA11" s="5">
        <f t="shared" si="2"/>
        <v>0.19279878242366033</v>
      </c>
      <c r="AB11" s="5">
        <f t="shared" si="3"/>
        <v>0.32756436902302583</v>
      </c>
      <c r="AC11" s="5">
        <f t="shared" si="4"/>
        <v>0.52036315144668621</v>
      </c>
      <c r="AD11" s="5" t="s">
        <v>100</v>
      </c>
      <c r="AF11" s="5" t="s">
        <v>111</v>
      </c>
    </row>
    <row r="12" spans="1:32" s="5" customFormat="1" ht="15.75" x14ac:dyDescent="0.2">
      <c r="A12" s="5">
        <v>11</v>
      </c>
      <c r="B12" s="5">
        <v>3</v>
      </c>
      <c r="C12" s="5" t="s">
        <v>3</v>
      </c>
      <c r="D12" s="5" t="s">
        <v>98</v>
      </c>
      <c r="E12" s="5" t="s">
        <v>99</v>
      </c>
      <c r="F12" s="5" t="s">
        <v>64</v>
      </c>
      <c r="G12" s="5" t="s">
        <v>107</v>
      </c>
      <c r="H12" s="5" t="s">
        <v>93</v>
      </c>
      <c r="I12" s="5" t="s">
        <v>66</v>
      </c>
      <c r="J12" s="5">
        <v>3</v>
      </c>
      <c r="K12" s="5" t="s">
        <v>775</v>
      </c>
      <c r="L12" s="5">
        <v>3</v>
      </c>
      <c r="M12" s="5">
        <v>10.48695</v>
      </c>
      <c r="N12" s="5">
        <v>4.0291099999999993</v>
      </c>
      <c r="O12" s="5">
        <f t="shared" si="7"/>
        <v>6.9786232292838379</v>
      </c>
      <c r="P12" s="5">
        <v>3</v>
      </c>
      <c r="Q12" s="5">
        <v>11.06254</v>
      </c>
      <c r="R12" s="5">
        <v>6.3314499999999985</v>
      </c>
      <c r="S12" s="5">
        <f t="shared" si="0"/>
        <v>10.966393085581965</v>
      </c>
      <c r="T12" s="5">
        <v>3</v>
      </c>
      <c r="U12" s="5" t="s">
        <v>104</v>
      </c>
      <c r="V12" s="5">
        <v>20</v>
      </c>
      <c r="W12" s="5">
        <f t="shared" si="8"/>
        <v>20</v>
      </c>
      <c r="X12" s="5" t="str">
        <f t="shared" si="5"/>
        <v>High</v>
      </c>
      <c r="Y12" s="5" t="s">
        <v>112</v>
      </c>
      <c r="Z12" s="5">
        <f t="shared" si="6"/>
        <v>-5.3432999113579849E-2</v>
      </c>
      <c r="AA12" s="5">
        <f t="shared" si="2"/>
        <v>0.14761138461192802</v>
      </c>
      <c r="AB12" s="5">
        <f t="shared" si="3"/>
        <v>0.32756436902302583</v>
      </c>
      <c r="AC12" s="5">
        <f t="shared" si="4"/>
        <v>0.47517575363495385</v>
      </c>
      <c r="AD12" s="5" t="s">
        <v>100</v>
      </c>
      <c r="AF12" s="5" t="s">
        <v>111</v>
      </c>
    </row>
    <row r="13" spans="1:32" s="5" customFormat="1" ht="15.75" x14ac:dyDescent="0.2">
      <c r="A13" s="5">
        <v>12</v>
      </c>
      <c r="B13" s="5">
        <v>3</v>
      </c>
      <c r="C13" s="5" t="s">
        <v>3</v>
      </c>
      <c r="D13" s="5" t="s">
        <v>98</v>
      </c>
      <c r="E13" s="5" t="s">
        <v>99</v>
      </c>
      <c r="F13" s="5" t="s">
        <v>64</v>
      </c>
      <c r="G13" s="5" t="s">
        <v>73</v>
      </c>
      <c r="H13" s="5" t="s">
        <v>93</v>
      </c>
      <c r="I13" s="5" t="s">
        <v>66</v>
      </c>
      <c r="J13" s="5">
        <v>3</v>
      </c>
      <c r="K13" s="5" t="s">
        <v>775</v>
      </c>
      <c r="L13" s="5">
        <v>3</v>
      </c>
      <c r="M13" s="5">
        <v>129.05783</v>
      </c>
      <c r="N13" s="5">
        <v>30.793900000000008</v>
      </c>
      <c r="O13" s="5">
        <f t="shared" si="7"/>
        <v>53.336599363195262</v>
      </c>
      <c r="P13" s="5">
        <v>3</v>
      </c>
      <c r="Q13" s="5">
        <v>140.56957</v>
      </c>
      <c r="R13" s="5">
        <v>100.72769</v>
      </c>
      <c r="S13" s="5">
        <f t="shared" si="0"/>
        <v>174.46547680904752</v>
      </c>
      <c r="T13" s="5">
        <v>3</v>
      </c>
      <c r="U13" s="5" t="s">
        <v>101</v>
      </c>
      <c r="V13" s="5">
        <v>0.1</v>
      </c>
      <c r="W13" s="5">
        <f t="shared" si="8"/>
        <v>0.1</v>
      </c>
      <c r="X13" s="5" t="str">
        <f t="shared" si="5"/>
        <v>Low</v>
      </c>
      <c r="Y13" s="5" t="s">
        <v>112</v>
      </c>
      <c r="Z13" s="5">
        <f t="shared" si="6"/>
        <v>-8.5441927883495347E-2</v>
      </c>
      <c r="AA13" s="5">
        <f t="shared" si="2"/>
        <v>5.6932554841725519E-2</v>
      </c>
      <c r="AB13" s="5">
        <f t="shared" si="3"/>
        <v>0.51347004897463322</v>
      </c>
      <c r="AC13" s="5">
        <f t="shared" si="4"/>
        <v>0.57040260381635877</v>
      </c>
      <c r="AD13" s="5" t="s">
        <v>100</v>
      </c>
      <c r="AF13" s="5" t="s">
        <v>111</v>
      </c>
    </row>
    <row r="14" spans="1:32" s="5" customFormat="1" ht="15.75" x14ac:dyDescent="0.2">
      <c r="A14" s="5">
        <v>13</v>
      </c>
      <c r="B14" s="5">
        <v>3</v>
      </c>
      <c r="C14" s="5" t="s">
        <v>3</v>
      </c>
      <c r="D14" s="5" t="s">
        <v>98</v>
      </c>
      <c r="E14" s="5" t="s">
        <v>99</v>
      </c>
      <c r="F14" s="5" t="s">
        <v>64</v>
      </c>
      <c r="G14" s="5" t="s">
        <v>73</v>
      </c>
      <c r="H14" s="5" t="s">
        <v>93</v>
      </c>
      <c r="I14" s="5" t="s">
        <v>66</v>
      </c>
      <c r="J14" s="5">
        <v>3</v>
      </c>
      <c r="K14" s="5" t="s">
        <v>775</v>
      </c>
      <c r="L14" s="5">
        <v>3</v>
      </c>
      <c r="M14" s="5">
        <v>158.12496999999999</v>
      </c>
      <c r="N14" s="5">
        <v>27.628160000000008</v>
      </c>
      <c r="O14" s="5">
        <f t="shared" si="7"/>
        <v>47.853376839642166</v>
      </c>
      <c r="P14" s="5">
        <v>3</v>
      </c>
      <c r="Q14" s="5">
        <v>140.56957</v>
      </c>
      <c r="R14" s="5">
        <v>100.72769</v>
      </c>
      <c r="S14" s="5">
        <f t="shared" si="0"/>
        <v>174.46547680904752</v>
      </c>
      <c r="T14" s="5">
        <v>3</v>
      </c>
      <c r="U14" s="5" t="s">
        <v>102</v>
      </c>
      <c r="V14" s="5">
        <v>1</v>
      </c>
      <c r="W14" s="5">
        <f t="shared" si="8"/>
        <v>1</v>
      </c>
      <c r="X14" s="5" t="str">
        <f t="shared" si="5"/>
        <v>Low</v>
      </c>
      <c r="Y14" s="5" t="s">
        <v>112</v>
      </c>
      <c r="Z14" s="5">
        <f t="shared" si="6"/>
        <v>0.1176831433936272</v>
      </c>
      <c r="AA14" s="5">
        <f t="shared" si="2"/>
        <v>3.052832753886307E-2</v>
      </c>
      <c r="AB14" s="5">
        <f t="shared" si="3"/>
        <v>0.51347004897463322</v>
      </c>
      <c r="AC14" s="5">
        <f t="shared" si="4"/>
        <v>0.54399837651349625</v>
      </c>
      <c r="AD14" s="5" t="s">
        <v>100</v>
      </c>
      <c r="AF14" s="5" t="s">
        <v>111</v>
      </c>
    </row>
    <row r="15" spans="1:32" s="5" customFormat="1" ht="15.75" x14ac:dyDescent="0.2">
      <c r="A15" s="5">
        <v>14</v>
      </c>
      <c r="B15" s="5">
        <v>3</v>
      </c>
      <c r="C15" s="5" t="s">
        <v>3</v>
      </c>
      <c r="D15" s="5" t="s">
        <v>98</v>
      </c>
      <c r="E15" s="5" t="s">
        <v>99</v>
      </c>
      <c r="F15" s="5" t="s">
        <v>64</v>
      </c>
      <c r="G15" s="5" t="s">
        <v>73</v>
      </c>
      <c r="H15" s="5" t="s">
        <v>93</v>
      </c>
      <c r="I15" s="5" t="s">
        <v>66</v>
      </c>
      <c r="J15" s="5">
        <v>3</v>
      </c>
      <c r="K15" s="5" t="s">
        <v>775</v>
      </c>
      <c r="L15" s="5">
        <v>3</v>
      </c>
      <c r="M15" s="5">
        <v>82.147509999999997</v>
      </c>
      <c r="N15" s="5">
        <v>58.422060000000002</v>
      </c>
      <c r="O15" s="5">
        <f t="shared" si="7"/>
        <v>101.1899762028374</v>
      </c>
      <c r="P15" s="5">
        <v>3</v>
      </c>
      <c r="Q15" s="5">
        <v>140.56957</v>
      </c>
      <c r="R15" s="5">
        <v>100.72769</v>
      </c>
      <c r="S15" s="5">
        <f t="shared" si="0"/>
        <v>174.46547680904752</v>
      </c>
      <c r="T15" s="5">
        <v>3</v>
      </c>
      <c r="U15" s="5" t="s">
        <v>103</v>
      </c>
      <c r="V15" s="5">
        <v>10</v>
      </c>
      <c r="W15" s="5">
        <f t="shared" si="8"/>
        <v>10</v>
      </c>
      <c r="X15" s="5" t="str">
        <f t="shared" si="5"/>
        <v>High</v>
      </c>
      <c r="Y15" s="5" t="s">
        <v>112</v>
      </c>
      <c r="Z15" s="5">
        <f t="shared" si="6"/>
        <v>-0.53718599274870249</v>
      </c>
      <c r="AA15" s="5">
        <f t="shared" si="2"/>
        <v>0.50578381161570518</v>
      </c>
      <c r="AB15" s="5">
        <f t="shared" si="3"/>
        <v>0.51347004897463322</v>
      </c>
      <c r="AC15" s="5">
        <f t="shared" si="4"/>
        <v>1.0192538605903385</v>
      </c>
      <c r="AD15" s="5" t="s">
        <v>100</v>
      </c>
      <c r="AF15" s="5" t="s">
        <v>111</v>
      </c>
    </row>
    <row r="16" spans="1:32" s="5" customFormat="1" ht="15.75" x14ac:dyDescent="0.2">
      <c r="A16" s="5">
        <v>15</v>
      </c>
      <c r="B16" s="5">
        <v>3</v>
      </c>
      <c r="C16" s="5" t="s">
        <v>3</v>
      </c>
      <c r="D16" s="5" t="s">
        <v>98</v>
      </c>
      <c r="E16" s="5" t="s">
        <v>99</v>
      </c>
      <c r="F16" s="5" t="s">
        <v>64</v>
      </c>
      <c r="G16" s="5" t="s">
        <v>73</v>
      </c>
      <c r="H16" s="5" t="s">
        <v>93</v>
      </c>
      <c r="I16" s="5" t="s">
        <v>66</v>
      </c>
      <c r="J16" s="5">
        <v>3</v>
      </c>
      <c r="K16" s="5" t="s">
        <v>203</v>
      </c>
      <c r="L16" s="5">
        <v>3</v>
      </c>
      <c r="M16" s="5">
        <v>15.324</v>
      </c>
      <c r="N16" s="5">
        <v>2.8779300000000001</v>
      </c>
      <c r="O16" s="5">
        <f t="shared" si="7"/>
        <v>4.9847209806266992</v>
      </c>
      <c r="P16" s="5">
        <v>3</v>
      </c>
      <c r="Q16" s="5">
        <v>140.56957</v>
      </c>
      <c r="R16" s="5">
        <v>100.72769</v>
      </c>
      <c r="S16" s="5">
        <f t="shared" si="0"/>
        <v>174.46547680904752</v>
      </c>
      <c r="T16" s="5">
        <v>3</v>
      </c>
      <c r="U16" s="5" t="s">
        <v>104</v>
      </c>
      <c r="V16" s="5">
        <v>20</v>
      </c>
      <c r="W16" s="5">
        <f t="shared" si="8"/>
        <v>20</v>
      </c>
      <c r="X16" s="5" t="str">
        <f t="shared" si="5"/>
        <v>High</v>
      </c>
      <c r="Y16" s="5" t="s">
        <v>112</v>
      </c>
      <c r="Z16" s="5">
        <f t="shared" si="6"/>
        <v>-2.2162822995264166</v>
      </c>
      <c r="AA16" s="5">
        <f t="shared" si="2"/>
        <v>3.5270869504528346E-2</v>
      </c>
      <c r="AB16" s="5">
        <f t="shared" si="3"/>
        <v>0.51347004897463322</v>
      </c>
      <c r="AC16" s="5">
        <f t="shared" si="4"/>
        <v>0.54874091847916162</v>
      </c>
      <c r="AD16" s="5" t="s">
        <v>100</v>
      </c>
      <c r="AF16" s="5" t="s">
        <v>111</v>
      </c>
    </row>
    <row r="17" spans="1:32" s="7" customFormat="1" ht="15.75" x14ac:dyDescent="0.2">
      <c r="A17" s="7">
        <v>16</v>
      </c>
      <c r="B17" s="7">
        <v>4</v>
      </c>
      <c r="C17" s="7" t="s">
        <v>5</v>
      </c>
      <c r="D17" s="7" t="s">
        <v>122</v>
      </c>
      <c r="E17" s="7" t="s">
        <v>123</v>
      </c>
      <c r="F17" s="7" t="s">
        <v>64</v>
      </c>
      <c r="G17" s="7" t="s">
        <v>129</v>
      </c>
      <c r="H17" s="7" t="s">
        <v>93</v>
      </c>
      <c r="I17" s="7" t="s">
        <v>66</v>
      </c>
      <c r="J17" s="7">
        <v>4</v>
      </c>
      <c r="K17" s="7" t="s">
        <v>127</v>
      </c>
      <c r="L17" s="7">
        <v>3</v>
      </c>
      <c r="M17" s="7">
        <v>66.587230000000005</v>
      </c>
      <c r="N17" s="7">
        <v>3.008829999999989</v>
      </c>
      <c r="O17" s="7">
        <f t="shared" si="7"/>
        <v>5.2114464313374453</v>
      </c>
      <c r="P17" s="7">
        <v>3</v>
      </c>
      <c r="Q17" s="7">
        <v>67.068640000000002</v>
      </c>
      <c r="R17" s="7">
        <v>5.2052699999999987</v>
      </c>
      <c r="S17" s="7">
        <f t="shared" si="0"/>
        <v>9.0157921071140468</v>
      </c>
      <c r="T17" s="7">
        <v>3</v>
      </c>
      <c r="U17" s="7">
        <v>0.05</v>
      </c>
      <c r="V17" s="7">
        <v>5</v>
      </c>
      <c r="W17" s="7">
        <f>V17*10</f>
        <v>50</v>
      </c>
      <c r="X17" s="7" t="str">
        <f t="shared" si="5"/>
        <v>High</v>
      </c>
      <c r="Y17" s="7" t="s">
        <v>125</v>
      </c>
      <c r="Z17" s="7">
        <f t="shared" si="6"/>
        <v>-7.2037551640536544E-3</v>
      </c>
      <c r="AA17" s="7">
        <f t="shared" si="2"/>
        <v>2.0418009599386653E-3</v>
      </c>
      <c r="AB17" s="7">
        <f t="shared" si="3"/>
        <v>6.0234807003181293E-3</v>
      </c>
      <c r="AC17" s="7">
        <f t="shared" si="4"/>
        <v>8.0652816602567942E-3</v>
      </c>
      <c r="AD17" s="7" t="s">
        <v>124</v>
      </c>
      <c r="AF17" s="7" t="s">
        <v>689</v>
      </c>
    </row>
    <row r="18" spans="1:32" s="7" customFormat="1" ht="15.75" x14ac:dyDescent="0.2">
      <c r="A18" s="7">
        <v>17</v>
      </c>
      <c r="B18" s="7">
        <v>4</v>
      </c>
      <c r="C18" s="7" t="s">
        <v>5</v>
      </c>
      <c r="D18" s="7" t="s">
        <v>122</v>
      </c>
      <c r="E18" s="7" t="s">
        <v>123</v>
      </c>
      <c r="F18" s="7" t="s">
        <v>64</v>
      </c>
      <c r="G18" s="7" t="s">
        <v>129</v>
      </c>
      <c r="H18" s="7" t="s">
        <v>93</v>
      </c>
      <c r="I18" s="7" t="s">
        <v>66</v>
      </c>
      <c r="J18" s="7">
        <v>4</v>
      </c>
      <c r="K18" s="7" t="s">
        <v>128</v>
      </c>
      <c r="L18" s="7">
        <v>3</v>
      </c>
      <c r="M18" s="7">
        <v>53.829810000000002</v>
      </c>
      <c r="N18" s="7">
        <v>4.7840300000000013</v>
      </c>
      <c r="O18" s="7">
        <f t="shared" si="7"/>
        <v>8.286183024933738</v>
      </c>
      <c r="P18" s="7">
        <v>3</v>
      </c>
      <c r="Q18" s="7">
        <v>76.30574</v>
      </c>
      <c r="R18" s="7">
        <v>2.6477699999999942</v>
      </c>
      <c r="S18" s="7">
        <f t="shared" si="0"/>
        <v>4.5860721667566358</v>
      </c>
      <c r="T18" s="7">
        <v>3</v>
      </c>
      <c r="U18" s="7">
        <v>0.05</v>
      </c>
      <c r="V18" s="7">
        <v>5</v>
      </c>
      <c r="W18" s="7">
        <f>V18*10</f>
        <v>50</v>
      </c>
      <c r="X18" s="7" t="str">
        <f t="shared" si="5"/>
        <v>High</v>
      </c>
      <c r="Y18" s="7" t="s">
        <v>125</v>
      </c>
      <c r="Z18" s="7">
        <f t="shared" si="6"/>
        <v>-0.34892076188230409</v>
      </c>
      <c r="AA18" s="7">
        <f t="shared" si="2"/>
        <v>7.8984540320156948E-3</v>
      </c>
      <c r="AB18" s="7">
        <f t="shared" si="3"/>
        <v>1.2040543679088221E-3</v>
      </c>
      <c r="AC18" s="7">
        <f t="shared" si="4"/>
        <v>9.1025083999245176E-3</v>
      </c>
      <c r="AD18" s="7" t="s">
        <v>124</v>
      </c>
      <c r="AF18" s="7" t="s">
        <v>121</v>
      </c>
    </row>
    <row r="19" spans="1:32" s="8" customFormat="1" ht="15.75" x14ac:dyDescent="0.2">
      <c r="A19" s="8">
        <v>18</v>
      </c>
      <c r="B19" s="8">
        <v>5</v>
      </c>
      <c r="C19" s="8" t="s">
        <v>130</v>
      </c>
      <c r="D19" s="8" t="s">
        <v>131</v>
      </c>
      <c r="E19" s="8" t="s">
        <v>132</v>
      </c>
      <c r="F19" s="8" t="s">
        <v>133</v>
      </c>
      <c r="G19" s="8" t="s">
        <v>141</v>
      </c>
      <c r="H19" s="8" t="s">
        <v>140</v>
      </c>
      <c r="I19" s="8" t="s">
        <v>66</v>
      </c>
      <c r="J19" s="8">
        <v>5</v>
      </c>
      <c r="K19" s="8" t="s">
        <v>143</v>
      </c>
      <c r="L19" s="8">
        <v>3</v>
      </c>
      <c r="M19" s="8">
        <v>3655.4193500000001</v>
      </c>
      <c r="N19" s="8">
        <v>709.41327000000001</v>
      </c>
      <c r="O19" s="8">
        <f t="shared" si="7"/>
        <v>1228.739827203578</v>
      </c>
      <c r="P19" s="8">
        <v>3</v>
      </c>
      <c r="Q19" s="8">
        <v>3021.3419899999999</v>
      </c>
      <c r="R19" s="8">
        <v>558.74143000000004</v>
      </c>
      <c r="S19" s="8">
        <f t="shared" si="0"/>
        <v>967.76854505368931</v>
      </c>
      <c r="T19" s="8">
        <v>3</v>
      </c>
      <c r="U19" s="8" t="s">
        <v>136</v>
      </c>
      <c r="V19" s="8">
        <v>1</v>
      </c>
      <c r="W19" s="8">
        <f t="shared" ref="W19:W24" si="9">V19 * 1</f>
        <v>1</v>
      </c>
      <c r="X19" s="8" t="str">
        <f t="shared" si="5"/>
        <v>Low</v>
      </c>
      <c r="Y19" s="8" t="s">
        <v>135</v>
      </c>
      <c r="Z19" s="8">
        <f t="shared" si="6"/>
        <v>0.19050971962809446</v>
      </c>
      <c r="AA19" s="8">
        <f t="shared" si="2"/>
        <v>3.7663805896871599E-2</v>
      </c>
      <c r="AB19" s="8">
        <f t="shared" si="3"/>
        <v>3.4199674844551338E-2</v>
      </c>
      <c r="AC19" s="8">
        <f t="shared" si="4"/>
        <v>7.186348074142293E-2</v>
      </c>
      <c r="AD19" s="8" t="s">
        <v>134</v>
      </c>
      <c r="AF19" s="8" t="s">
        <v>690</v>
      </c>
    </row>
    <row r="20" spans="1:32" s="8" customFormat="1" ht="15.75" x14ac:dyDescent="0.2">
      <c r="A20" s="8">
        <v>19</v>
      </c>
      <c r="B20" s="8">
        <v>5</v>
      </c>
      <c r="C20" s="8" t="s">
        <v>130</v>
      </c>
      <c r="D20" s="8" t="s">
        <v>131</v>
      </c>
      <c r="E20" s="8" t="s">
        <v>132</v>
      </c>
      <c r="F20" s="8" t="s">
        <v>133</v>
      </c>
      <c r="G20" s="8" t="s">
        <v>141</v>
      </c>
      <c r="H20" s="8" t="s">
        <v>140</v>
      </c>
      <c r="I20" s="8" t="s">
        <v>66</v>
      </c>
      <c r="J20" s="8">
        <v>5</v>
      </c>
      <c r="K20" s="8" t="s">
        <v>143</v>
      </c>
      <c r="L20" s="8">
        <v>3</v>
      </c>
      <c r="M20" s="8">
        <v>3774.7012199999999</v>
      </c>
      <c r="N20" s="8">
        <v>269.95373000000018</v>
      </c>
      <c r="O20" s="8">
        <f t="shared" si="7"/>
        <v>467.57357605273091</v>
      </c>
      <c r="P20" s="8">
        <v>3</v>
      </c>
      <c r="Q20" s="8">
        <v>3021.3419899999999</v>
      </c>
      <c r="R20" s="8">
        <v>558.74143000000004</v>
      </c>
      <c r="S20" s="8">
        <f t="shared" si="0"/>
        <v>967.76854505368931</v>
      </c>
      <c r="T20" s="8">
        <v>3</v>
      </c>
      <c r="U20" s="8" t="s">
        <v>137</v>
      </c>
      <c r="V20" s="8">
        <v>10</v>
      </c>
      <c r="W20" s="8">
        <f t="shared" si="9"/>
        <v>10</v>
      </c>
      <c r="X20" s="8" t="str">
        <f t="shared" si="5"/>
        <v>High</v>
      </c>
      <c r="Y20" s="8" t="s">
        <v>135</v>
      </c>
      <c r="Z20" s="8">
        <f t="shared" si="6"/>
        <v>0.22262013231440342</v>
      </c>
      <c r="AA20" s="8">
        <f t="shared" si="2"/>
        <v>5.1146215265163459E-3</v>
      </c>
      <c r="AB20" s="8">
        <f t="shared" si="3"/>
        <v>3.4199674844551338E-2</v>
      </c>
      <c r="AC20" s="8">
        <f t="shared" si="4"/>
        <v>3.9314296371067682E-2</v>
      </c>
      <c r="AD20" s="8" t="s">
        <v>134</v>
      </c>
      <c r="AF20" s="8" t="s">
        <v>142</v>
      </c>
    </row>
    <row r="21" spans="1:32" s="8" customFormat="1" ht="15.75" x14ac:dyDescent="0.2">
      <c r="A21" s="8">
        <v>20</v>
      </c>
      <c r="B21" s="8">
        <v>5</v>
      </c>
      <c r="C21" s="8" t="s">
        <v>130</v>
      </c>
      <c r="D21" s="8" t="s">
        <v>131</v>
      </c>
      <c r="E21" s="8" t="s">
        <v>132</v>
      </c>
      <c r="F21" s="8" t="s">
        <v>133</v>
      </c>
      <c r="G21" s="8" t="s">
        <v>141</v>
      </c>
      <c r="H21" s="8" t="s">
        <v>140</v>
      </c>
      <c r="I21" s="8" t="s">
        <v>66</v>
      </c>
      <c r="J21" s="8">
        <v>5</v>
      </c>
      <c r="K21" s="8" t="s">
        <v>143</v>
      </c>
      <c r="L21" s="8">
        <v>3</v>
      </c>
      <c r="M21" s="8">
        <v>3705.6433000000002</v>
      </c>
      <c r="N21" s="8">
        <v>778.4711999999995</v>
      </c>
      <c r="O21" s="8">
        <f t="shared" si="7"/>
        <v>1348.351670629112</v>
      </c>
      <c r="P21" s="8">
        <v>3</v>
      </c>
      <c r="Q21" s="8">
        <v>3021.3419899999999</v>
      </c>
      <c r="R21" s="8">
        <v>558.74143000000004</v>
      </c>
      <c r="S21" s="8">
        <f t="shared" si="0"/>
        <v>967.76854505368931</v>
      </c>
      <c r="T21" s="8">
        <v>3</v>
      </c>
      <c r="U21" s="8" t="s">
        <v>138</v>
      </c>
      <c r="V21" s="8">
        <v>20</v>
      </c>
      <c r="W21" s="8">
        <f t="shared" si="9"/>
        <v>20</v>
      </c>
      <c r="X21" s="8" t="str">
        <f t="shared" si="5"/>
        <v>High</v>
      </c>
      <c r="Y21" s="8" t="s">
        <v>135</v>
      </c>
      <c r="Z21" s="8">
        <f t="shared" si="6"/>
        <v>0.20415577367105991</v>
      </c>
      <c r="AA21" s="8">
        <f t="shared" si="2"/>
        <v>4.4132433512928691E-2</v>
      </c>
      <c r="AB21" s="8">
        <f t="shared" si="3"/>
        <v>3.4199674844551338E-2</v>
      </c>
      <c r="AC21" s="8">
        <f t="shared" si="4"/>
        <v>7.8332108357480029E-2</v>
      </c>
      <c r="AD21" s="8" t="s">
        <v>134</v>
      </c>
      <c r="AF21" s="8" t="s">
        <v>142</v>
      </c>
    </row>
    <row r="22" spans="1:32" s="8" customFormat="1" ht="15.75" x14ac:dyDescent="0.2">
      <c r="A22" s="8">
        <v>21</v>
      </c>
      <c r="B22" s="8">
        <v>5</v>
      </c>
      <c r="C22" s="8" t="s">
        <v>130</v>
      </c>
      <c r="D22" s="8" t="s">
        <v>131</v>
      </c>
      <c r="E22" s="8" t="s">
        <v>132</v>
      </c>
      <c r="F22" s="8" t="s">
        <v>133</v>
      </c>
      <c r="G22" s="8" t="s">
        <v>149</v>
      </c>
      <c r="H22" s="8" t="s">
        <v>140</v>
      </c>
      <c r="I22" s="8" t="s">
        <v>66</v>
      </c>
      <c r="J22" s="8">
        <v>5</v>
      </c>
      <c r="K22" s="8" t="s">
        <v>143</v>
      </c>
      <c r="L22" s="8">
        <v>3</v>
      </c>
      <c r="M22" s="8">
        <v>3385.4656199999999</v>
      </c>
      <c r="N22" s="8">
        <v>608.9653800000001</v>
      </c>
      <c r="O22" s="8">
        <f t="shared" si="7"/>
        <v>1054.7589782104883</v>
      </c>
      <c r="P22" s="8">
        <v>3</v>
      </c>
      <c r="Q22" s="8">
        <v>2606.99442</v>
      </c>
      <c r="R22" s="8">
        <v>1293.2666800000002</v>
      </c>
      <c r="S22" s="8">
        <f t="shared" si="0"/>
        <v>2240.003597495921</v>
      </c>
      <c r="T22" s="8">
        <v>3</v>
      </c>
      <c r="U22" s="8" t="s">
        <v>136</v>
      </c>
      <c r="V22" s="8">
        <v>1</v>
      </c>
      <c r="W22" s="8">
        <f t="shared" si="9"/>
        <v>1</v>
      </c>
      <c r="X22" s="8" t="str">
        <f t="shared" si="5"/>
        <v>Low</v>
      </c>
      <c r="Y22" s="8" t="s">
        <v>135</v>
      </c>
      <c r="Z22" s="8">
        <f t="shared" si="6"/>
        <v>0.26129345626107431</v>
      </c>
      <c r="AA22" s="8">
        <f t="shared" si="2"/>
        <v>3.2355520546880852E-2</v>
      </c>
      <c r="AB22" s="8">
        <f t="shared" si="3"/>
        <v>0.2460911375036649</v>
      </c>
      <c r="AC22" s="8">
        <f t="shared" si="4"/>
        <v>0.27844665805054575</v>
      </c>
      <c r="AD22" s="8" t="s">
        <v>134</v>
      </c>
      <c r="AF22" s="8" t="s">
        <v>142</v>
      </c>
    </row>
    <row r="23" spans="1:32" s="8" customFormat="1" ht="15.75" x14ac:dyDescent="0.2">
      <c r="A23" s="8">
        <v>22</v>
      </c>
      <c r="B23" s="8">
        <v>5</v>
      </c>
      <c r="C23" s="8" t="s">
        <v>130</v>
      </c>
      <c r="D23" s="8" t="s">
        <v>131</v>
      </c>
      <c r="E23" s="8" t="s">
        <v>132</v>
      </c>
      <c r="F23" s="8" t="s">
        <v>133</v>
      </c>
      <c r="G23" s="8" t="s">
        <v>149</v>
      </c>
      <c r="H23" s="8" t="s">
        <v>140</v>
      </c>
      <c r="I23" s="8" t="s">
        <v>66</v>
      </c>
      <c r="J23" s="8">
        <v>5</v>
      </c>
      <c r="K23" s="8" t="s">
        <v>143</v>
      </c>
      <c r="L23" s="8">
        <v>3</v>
      </c>
      <c r="M23" s="8">
        <v>3460.8015500000001</v>
      </c>
      <c r="N23" s="8">
        <v>998.20097999999962</v>
      </c>
      <c r="O23" s="8">
        <f t="shared" si="7"/>
        <v>1728.9348135250439</v>
      </c>
      <c r="P23" s="8">
        <v>3</v>
      </c>
      <c r="Q23" s="8">
        <v>2606.99442</v>
      </c>
      <c r="R23" s="8">
        <v>1293.2666800000002</v>
      </c>
      <c r="S23" s="8">
        <f t="shared" si="0"/>
        <v>2240.003597495921</v>
      </c>
      <c r="T23" s="8">
        <v>3</v>
      </c>
      <c r="U23" s="8" t="s">
        <v>137</v>
      </c>
      <c r="V23" s="8">
        <v>10</v>
      </c>
      <c r="W23" s="8">
        <f t="shared" si="9"/>
        <v>10</v>
      </c>
      <c r="X23" s="8" t="str">
        <f t="shared" si="5"/>
        <v>High</v>
      </c>
      <c r="Y23" s="8" t="s">
        <v>135</v>
      </c>
      <c r="Z23" s="8">
        <f t="shared" si="6"/>
        <v>0.2833022295320613</v>
      </c>
      <c r="AA23" s="8">
        <f t="shared" si="2"/>
        <v>8.3192196423580583E-2</v>
      </c>
      <c r="AB23" s="8">
        <f t="shared" si="3"/>
        <v>0.2460911375036649</v>
      </c>
      <c r="AC23" s="8">
        <f t="shared" si="4"/>
        <v>0.32928333392724551</v>
      </c>
      <c r="AD23" s="8" t="s">
        <v>134</v>
      </c>
      <c r="AF23" s="8" t="s">
        <v>142</v>
      </c>
    </row>
    <row r="24" spans="1:32" s="8" customFormat="1" ht="15.75" x14ac:dyDescent="0.2">
      <c r="A24" s="8">
        <v>23</v>
      </c>
      <c r="B24" s="8">
        <v>5</v>
      </c>
      <c r="C24" s="8" t="s">
        <v>130</v>
      </c>
      <c r="D24" s="8" t="s">
        <v>131</v>
      </c>
      <c r="E24" s="8" t="s">
        <v>132</v>
      </c>
      <c r="F24" s="8" t="s">
        <v>133</v>
      </c>
      <c r="G24" s="8" t="s">
        <v>149</v>
      </c>
      <c r="H24" s="8" t="s">
        <v>140</v>
      </c>
      <c r="I24" s="8" t="s">
        <v>66</v>
      </c>
      <c r="J24" s="8">
        <v>5</v>
      </c>
      <c r="K24" s="8" t="s">
        <v>143</v>
      </c>
      <c r="L24" s="8">
        <v>3</v>
      </c>
      <c r="M24" s="8">
        <v>3730.7552700000001</v>
      </c>
      <c r="N24" s="8">
        <v>2165.9077899999997</v>
      </c>
      <c r="O24" s="8">
        <f t="shared" si="7"/>
        <v>3751.4623367892218</v>
      </c>
      <c r="P24" s="8">
        <v>3</v>
      </c>
      <c r="Q24" s="8">
        <v>2606.99442</v>
      </c>
      <c r="R24" s="8">
        <v>1293.2666800000002</v>
      </c>
      <c r="S24" s="8">
        <f t="shared" si="0"/>
        <v>2240.003597495921</v>
      </c>
      <c r="T24" s="8">
        <v>3</v>
      </c>
      <c r="U24" s="8" t="s">
        <v>138</v>
      </c>
      <c r="V24" s="8">
        <v>20</v>
      </c>
      <c r="W24" s="8">
        <f t="shared" si="9"/>
        <v>20</v>
      </c>
      <c r="X24" s="8" t="str">
        <f t="shared" si="5"/>
        <v>High</v>
      </c>
      <c r="Y24" s="8" t="s">
        <v>135</v>
      </c>
      <c r="Z24" s="8">
        <f t="shared" si="6"/>
        <v>0.35841270385522384</v>
      </c>
      <c r="AA24" s="8">
        <f t="shared" si="2"/>
        <v>0.33704384790974745</v>
      </c>
      <c r="AB24" s="8">
        <f t="shared" si="3"/>
        <v>0.2460911375036649</v>
      </c>
      <c r="AC24" s="8">
        <f t="shared" si="4"/>
        <v>0.58313498541341235</v>
      </c>
      <c r="AD24" s="8" t="s">
        <v>134</v>
      </c>
      <c r="AF24" s="8" t="s">
        <v>142</v>
      </c>
    </row>
    <row r="25" spans="1:32" s="9" customFormat="1" ht="15.75" x14ac:dyDescent="0.2">
      <c r="A25" s="9">
        <v>24</v>
      </c>
      <c r="B25" s="9">
        <v>6</v>
      </c>
      <c r="C25" s="9" t="s">
        <v>161</v>
      </c>
      <c r="D25" s="9" t="s">
        <v>62</v>
      </c>
      <c r="E25" s="9" t="s">
        <v>160</v>
      </c>
      <c r="F25" s="9" t="s">
        <v>162</v>
      </c>
      <c r="G25" s="9" t="s">
        <v>168</v>
      </c>
      <c r="H25" s="9" t="s">
        <v>175</v>
      </c>
      <c r="I25" s="9" t="s">
        <v>66</v>
      </c>
      <c r="J25" s="9">
        <v>6</v>
      </c>
      <c r="K25" s="9" t="s">
        <v>128</v>
      </c>
      <c r="L25" s="9">
        <v>10</v>
      </c>
      <c r="M25" s="9">
        <v>90.630889999999994</v>
      </c>
      <c r="N25" s="9">
        <v>4.8001900000000006</v>
      </c>
      <c r="O25" s="9">
        <f t="shared" si="7"/>
        <v>15.179533601563655</v>
      </c>
      <c r="P25" s="9">
        <v>10</v>
      </c>
      <c r="Q25" s="9">
        <v>99.239490000000004</v>
      </c>
      <c r="R25" s="9">
        <v>5.6729600000000033</v>
      </c>
      <c r="S25" s="9">
        <f t="shared" si="0"/>
        <v>17.939474675028819</v>
      </c>
      <c r="T25" s="9">
        <v>10</v>
      </c>
      <c r="U25" s="9">
        <v>2.6037500000000002E-3</v>
      </c>
      <c r="V25" s="9">
        <v>2.6037500000000002E-3</v>
      </c>
      <c r="W25" s="9">
        <f>V25 * 1000</f>
        <v>2.6037500000000002</v>
      </c>
      <c r="X25" s="9" t="str">
        <f t="shared" si="5"/>
        <v>Medium</v>
      </c>
      <c r="Y25" s="9" t="s">
        <v>164</v>
      </c>
      <c r="Z25" s="9">
        <f t="shared" si="6"/>
        <v>-9.0740915587236542E-2</v>
      </c>
      <c r="AA25" s="9">
        <f t="shared" si="2"/>
        <v>2.8052034613283826E-3</v>
      </c>
      <c r="AB25" s="9">
        <f t="shared" si="3"/>
        <v>3.2677618277879594E-3</v>
      </c>
      <c r="AC25" s="9">
        <f t="shared" si="4"/>
        <v>6.0729652891163416E-3</v>
      </c>
      <c r="AD25" s="9" t="s">
        <v>163</v>
      </c>
      <c r="AF25" s="9" t="s">
        <v>174</v>
      </c>
    </row>
    <row r="26" spans="1:32" s="9" customFormat="1" ht="15.75" x14ac:dyDescent="0.2">
      <c r="A26" s="9">
        <v>25</v>
      </c>
      <c r="B26" s="9">
        <v>6</v>
      </c>
      <c r="C26" s="9" t="s">
        <v>161</v>
      </c>
      <c r="D26" s="9" t="s">
        <v>62</v>
      </c>
      <c r="E26" s="9" t="s">
        <v>160</v>
      </c>
      <c r="F26" s="9" t="s">
        <v>162</v>
      </c>
      <c r="G26" s="9" t="s">
        <v>168</v>
      </c>
      <c r="H26" s="9" t="s">
        <v>175</v>
      </c>
      <c r="I26" s="9" t="s">
        <v>66</v>
      </c>
      <c r="J26" s="9">
        <v>6</v>
      </c>
      <c r="K26" s="9" t="s">
        <v>128</v>
      </c>
      <c r="L26" s="9">
        <v>10</v>
      </c>
      <c r="M26" s="9">
        <v>92.852459999999994</v>
      </c>
      <c r="N26" s="9">
        <v>4.6811800000000119</v>
      </c>
      <c r="O26" s="9">
        <f t="shared" si="7"/>
        <v>14.803190937227052</v>
      </c>
      <c r="P26" s="9">
        <v>10</v>
      </c>
      <c r="Q26" s="9">
        <v>99.239490000000004</v>
      </c>
      <c r="R26" s="9">
        <v>5.6729600000000033</v>
      </c>
      <c r="S26" s="9">
        <f t="shared" si="0"/>
        <v>17.939474675028819</v>
      </c>
      <c r="T26" s="9">
        <v>10</v>
      </c>
      <c r="U26" s="9">
        <v>2.6037500000000002E-3</v>
      </c>
      <c r="V26" s="9">
        <v>2.6037500000000002E-3</v>
      </c>
      <c r="W26" s="9">
        <f t="shared" ref="W26:W39" si="10">V26 * 1000</f>
        <v>2.6037500000000002</v>
      </c>
      <c r="X26" s="9" t="str">
        <f t="shared" si="5"/>
        <v>Medium</v>
      </c>
      <c r="Y26" s="9" t="s">
        <v>165</v>
      </c>
      <c r="Z26" s="9">
        <f t="shared" si="6"/>
        <v>-6.6524237960098709E-2</v>
      </c>
      <c r="AA26" s="9">
        <f t="shared" si="2"/>
        <v>2.5416974499209715E-3</v>
      </c>
      <c r="AB26" s="9">
        <f t="shared" si="3"/>
        <v>3.2677618277879594E-3</v>
      </c>
      <c r="AC26" s="9">
        <f t="shared" si="4"/>
        <v>5.8094592777089308E-3</v>
      </c>
      <c r="AD26" s="9" t="s">
        <v>163</v>
      </c>
      <c r="AF26" s="9" t="s">
        <v>174</v>
      </c>
    </row>
    <row r="27" spans="1:32" s="9" customFormat="1" ht="15.75" x14ac:dyDescent="0.2">
      <c r="A27" s="9">
        <v>26</v>
      </c>
      <c r="B27" s="9">
        <v>6</v>
      </c>
      <c r="C27" s="9" t="s">
        <v>161</v>
      </c>
      <c r="D27" s="9" t="s">
        <v>62</v>
      </c>
      <c r="E27" s="9" t="s">
        <v>160</v>
      </c>
      <c r="F27" s="9" t="s">
        <v>162</v>
      </c>
      <c r="G27" s="9" t="s">
        <v>168</v>
      </c>
      <c r="H27" s="9" t="s">
        <v>175</v>
      </c>
      <c r="I27" s="9" t="s">
        <v>66</v>
      </c>
      <c r="J27" s="9">
        <v>6</v>
      </c>
      <c r="K27" s="9" t="s">
        <v>128</v>
      </c>
      <c r="L27" s="9">
        <v>10</v>
      </c>
      <c r="M27" s="9">
        <v>94.915360000000007</v>
      </c>
      <c r="N27" s="9">
        <v>4.6811699999999945</v>
      </c>
      <c r="O27" s="9">
        <f t="shared" si="7"/>
        <v>14.803159314450395</v>
      </c>
      <c r="P27" s="9">
        <v>10</v>
      </c>
      <c r="Q27" s="9">
        <v>99.239490000000004</v>
      </c>
      <c r="R27" s="9">
        <v>5.6729600000000033</v>
      </c>
      <c r="S27" s="9">
        <f t="shared" si="0"/>
        <v>17.939474675028819</v>
      </c>
      <c r="T27" s="9">
        <v>10</v>
      </c>
      <c r="U27" s="9">
        <v>2.6037500000000002E-3</v>
      </c>
      <c r="V27" s="9">
        <v>2.6037500000000002E-3</v>
      </c>
      <c r="W27" s="9">
        <f t="shared" si="10"/>
        <v>2.6037500000000002</v>
      </c>
      <c r="X27" s="9" t="str">
        <f t="shared" si="5"/>
        <v>Medium</v>
      </c>
      <c r="Y27" s="9" t="s">
        <v>166</v>
      </c>
      <c r="Z27" s="9">
        <f t="shared" si="6"/>
        <v>-4.4550472650948629E-2</v>
      </c>
      <c r="AA27" s="9">
        <f t="shared" si="2"/>
        <v>2.4324046650621421E-3</v>
      </c>
      <c r="AB27" s="9">
        <f t="shared" si="3"/>
        <v>3.2677618277879594E-3</v>
      </c>
      <c r="AC27" s="9">
        <f t="shared" si="4"/>
        <v>5.7001664928501014E-3</v>
      </c>
      <c r="AD27" s="9" t="s">
        <v>163</v>
      </c>
      <c r="AF27" s="9" t="s">
        <v>174</v>
      </c>
    </row>
    <row r="28" spans="1:32" s="9" customFormat="1" ht="15.75" x14ac:dyDescent="0.2">
      <c r="A28" s="9">
        <v>27</v>
      </c>
      <c r="B28" s="9">
        <v>6</v>
      </c>
      <c r="C28" s="9" t="s">
        <v>161</v>
      </c>
      <c r="D28" s="9" t="s">
        <v>62</v>
      </c>
      <c r="E28" s="9" t="s">
        <v>160</v>
      </c>
      <c r="F28" s="9" t="s">
        <v>162</v>
      </c>
      <c r="G28" s="9" t="s">
        <v>168</v>
      </c>
      <c r="H28" s="9" t="s">
        <v>175</v>
      </c>
      <c r="I28" s="9" t="s">
        <v>66</v>
      </c>
      <c r="J28" s="9">
        <v>6</v>
      </c>
      <c r="K28" s="9" t="s">
        <v>128</v>
      </c>
      <c r="L28" s="9">
        <v>10</v>
      </c>
      <c r="M28" s="9">
        <v>86.505099999999999</v>
      </c>
      <c r="N28" s="9">
        <v>4.8002000000000038</v>
      </c>
      <c r="O28" s="9">
        <f t="shared" si="7"/>
        <v>15.179565224340267</v>
      </c>
      <c r="P28" s="9">
        <v>10</v>
      </c>
      <c r="Q28" s="9">
        <v>99.239490000000004</v>
      </c>
      <c r="R28" s="9">
        <v>5.6729600000000033</v>
      </c>
      <c r="S28" s="9">
        <f t="shared" si="0"/>
        <v>17.939474675028819</v>
      </c>
      <c r="T28" s="9">
        <v>10</v>
      </c>
      <c r="U28" s="9">
        <v>2.6037500000000002E-2</v>
      </c>
      <c r="V28" s="9">
        <v>2.6037500000000002E-2</v>
      </c>
      <c r="W28" s="9">
        <f t="shared" si="10"/>
        <v>26.037500000000001</v>
      </c>
      <c r="X28" s="9" t="str">
        <f t="shared" si="5"/>
        <v>High</v>
      </c>
      <c r="Y28" s="9" t="s">
        <v>164</v>
      </c>
      <c r="Z28" s="9">
        <f t="shared" si="6"/>
        <v>-0.13733264801620268</v>
      </c>
      <c r="AA28" s="9">
        <f t="shared" si="2"/>
        <v>3.0791811551842451E-3</v>
      </c>
      <c r="AB28" s="9">
        <f t="shared" si="3"/>
        <v>3.2677618277879594E-3</v>
      </c>
      <c r="AC28" s="9">
        <f t="shared" si="4"/>
        <v>6.3469429829722049E-3</v>
      </c>
      <c r="AD28" s="9" t="s">
        <v>163</v>
      </c>
      <c r="AF28" s="9" t="s">
        <v>174</v>
      </c>
    </row>
    <row r="29" spans="1:32" s="9" customFormat="1" ht="15.75" x14ac:dyDescent="0.2">
      <c r="A29" s="9">
        <v>28</v>
      </c>
      <c r="B29" s="9">
        <v>6</v>
      </c>
      <c r="C29" s="9" t="s">
        <v>161</v>
      </c>
      <c r="D29" s="9" t="s">
        <v>62</v>
      </c>
      <c r="E29" s="9" t="s">
        <v>160</v>
      </c>
      <c r="F29" s="9" t="s">
        <v>162</v>
      </c>
      <c r="G29" s="9" t="s">
        <v>168</v>
      </c>
      <c r="H29" s="9" t="s">
        <v>175</v>
      </c>
      <c r="I29" s="9" t="s">
        <v>66</v>
      </c>
      <c r="J29" s="9">
        <v>6</v>
      </c>
      <c r="K29" s="9" t="s">
        <v>128</v>
      </c>
      <c r="L29" s="9">
        <v>10</v>
      </c>
      <c r="M29" s="9">
        <v>88.726680000000002</v>
      </c>
      <c r="N29" s="9">
        <v>4.6415099999999967</v>
      </c>
      <c r="O29" s="9">
        <f t="shared" si="7"/>
        <v>14.677743382448124</v>
      </c>
      <c r="P29" s="9">
        <v>10</v>
      </c>
      <c r="Q29" s="9">
        <v>99.239490000000004</v>
      </c>
      <c r="R29" s="9">
        <v>5.6729600000000033</v>
      </c>
      <c r="S29" s="9">
        <f t="shared" si="0"/>
        <v>17.939474675028819</v>
      </c>
      <c r="T29" s="9">
        <v>10</v>
      </c>
      <c r="U29" s="9">
        <v>2.6037500000000002E-2</v>
      </c>
      <c r="V29" s="9">
        <v>2.6037500000000002E-2</v>
      </c>
      <c r="W29" s="9">
        <f t="shared" si="10"/>
        <v>26.037500000000001</v>
      </c>
      <c r="X29" s="9" t="str">
        <f t="shared" si="5"/>
        <v>High</v>
      </c>
      <c r="Y29" s="9" t="s">
        <v>165</v>
      </c>
      <c r="Z29" s="9">
        <f t="shared" si="6"/>
        <v>-0.1119753864890238</v>
      </c>
      <c r="AA29" s="9">
        <f t="shared" si="2"/>
        <v>2.7365924118357508E-3</v>
      </c>
      <c r="AB29" s="9">
        <f t="shared" si="3"/>
        <v>3.2677618277879594E-3</v>
      </c>
      <c r="AC29" s="9">
        <f t="shared" si="4"/>
        <v>6.0043542396237097E-3</v>
      </c>
      <c r="AD29" s="9" t="s">
        <v>163</v>
      </c>
      <c r="AF29" s="9" t="s">
        <v>174</v>
      </c>
    </row>
    <row r="30" spans="1:32" s="9" customFormat="1" ht="15.75" x14ac:dyDescent="0.2">
      <c r="A30" s="9">
        <v>29</v>
      </c>
      <c r="B30" s="9">
        <v>6</v>
      </c>
      <c r="C30" s="9" t="s">
        <v>161</v>
      </c>
      <c r="D30" s="9" t="s">
        <v>62</v>
      </c>
      <c r="E30" s="9" t="s">
        <v>160</v>
      </c>
      <c r="F30" s="9" t="s">
        <v>162</v>
      </c>
      <c r="G30" s="9" t="s">
        <v>168</v>
      </c>
      <c r="H30" s="9" t="s">
        <v>175</v>
      </c>
      <c r="I30" s="9" t="s">
        <v>66</v>
      </c>
      <c r="J30" s="9">
        <v>6</v>
      </c>
      <c r="K30" s="9" t="s">
        <v>128</v>
      </c>
      <c r="L30" s="9">
        <v>10</v>
      </c>
      <c r="M30" s="9">
        <v>90.115170000000006</v>
      </c>
      <c r="N30" s="9">
        <v>3.9670899999999989</v>
      </c>
      <c r="O30" s="9">
        <f t="shared" si="7"/>
        <v>12.545040082877373</v>
      </c>
      <c r="P30" s="9">
        <v>10</v>
      </c>
      <c r="Q30" s="9">
        <v>99.239490000000004</v>
      </c>
      <c r="R30" s="9">
        <v>5.6729600000000033</v>
      </c>
      <c r="S30" s="9">
        <f t="shared" si="0"/>
        <v>17.939474675028819</v>
      </c>
      <c r="T30" s="9">
        <v>10</v>
      </c>
      <c r="U30" s="9">
        <v>2.6037500000000002E-2</v>
      </c>
      <c r="V30" s="9">
        <v>2.6037500000000002E-2</v>
      </c>
      <c r="W30" s="9">
        <f t="shared" si="10"/>
        <v>26.037500000000001</v>
      </c>
      <c r="X30" s="9" t="str">
        <f t="shared" si="5"/>
        <v>High</v>
      </c>
      <c r="Y30" s="9" t="s">
        <v>166</v>
      </c>
      <c r="Z30" s="9">
        <f t="shared" si="6"/>
        <v>-9.6447500832185437E-2</v>
      </c>
      <c r="AA30" s="9">
        <f t="shared" si="2"/>
        <v>1.9379755514291376E-3</v>
      </c>
      <c r="AB30" s="9">
        <f t="shared" si="3"/>
        <v>3.2677618277879594E-3</v>
      </c>
      <c r="AC30" s="9">
        <f t="shared" si="4"/>
        <v>5.2057373792170972E-3</v>
      </c>
      <c r="AD30" s="9" t="s">
        <v>163</v>
      </c>
      <c r="AF30" s="9" t="s">
        <v>174</v>
      </c>
    </row>
    <row r="31" spans="1:32" s="9" customFormat="1" ht="15.75" x14ac:dyDescent="0.2">
      <c r="A31" s="9">
        <v>30</v>
      </c>
      <c r="B31" s="9">
        <v>6</v>
      </c>
      <c r="C31" s="9" t="s">
        <v>161</v>
      </c>
      <c r="D31" s="9" t="s">
        <v>62</v>
      </c>
      <c r="E31" s="9" t="s">
        <v>160</v>
      </c>
      <c r="F31" s="9" t="s">
        <v>162</v>
      </c>
      <c r="G31" s="9" t="s">
        <v>168</v>
      </c>
      <c r="H31" s="9" t="s">
        <v>175</v>
      </c>
      <c r="I31" s="9" t="s">
        <v>66</v>
      </c>
      <c r="J31" s="9">
        <v>6</v>
      </c>
      <c r="K31" s="9" t="s">
        <v>128</v>
      </c>
      <c r="L31" s="9">
        <v>10</v>
      </c>
      <c r="M31" s="9">
        <v>77.856830000000002</v>
      </c>
      <c r="N31" s="9">
        <v>3.649729999999991</v>
      </c>
      <c r="O31" s="9">
        <f t="shared" si="7"/>
        <v>11.541459644646311</v>
      </c>
      <c r="P31" s="9">
        <v>10</v>
      </c>
      <c r="Q31" s="9">
        <v>99.239490000000004</v>
      </c>
      <c r="R31" s="9">
        <v>5.6729600000000033</v>
      </c>
      <c r="S31" s="9">
        <f t="shared" si="0"/>
        <v>17.939474675028819</v>
      </c>
      <c r="T31" s="9">
        <v>10</v>
      </c>
      <c r="U31" s="9">
        <v>0.26037500000000002</v>
      </c>
      <c r="V31" s="9">
        <v>0.26037500000000002</v>
      </c>
      <c r="W31" s="9">
        <f t="shared" si="10"/>
        <v>260.375</v>
      </c>
      <c r="X31" s="9" t="str">
        <f t="shared" si="5"/>
        <v>High</v>
      </c>
      <c r="Y31" s="9" t="s">
        <v>164</v>
      </c>
      <c r="Z31" s="9">
        <f t="shared" si="6"/>
        <v>-0.24266439250233007</v>
      </c>
      <c r="AA31" s="9">
        <f t="shared" si="2"/>
        <v>2.1974957333679743E-3</v>
      </c>
      <c r="AB31" s="9">
        <f t="shared" si="3"/>
        <v>3.2677618277879594E-3</v>
      </c>
      <c r="AC31" s="9">
        <f t="shared" si="4"/>
        <v>5.4652575611559336E-3</v>
      </c>
      <c r="AD31" s="9" t="s">
        <v>163</v>
      </c>
      <c r="AF31" s="9" t="s">
        <v>174</v>
      </c>
    </row>
    <row r="32" spans="1:32" s="9" customFormat="1" ht="15.75" x14ac:dyDescent="0.2">
      <c r="A32" s="9">
        <v>31</v>
      </c>
      <c r="B32" s="9">
        <v>6</v>
      </c>
      <c r="C32" s="9" t="s">
        <v>161</v>
      </c>
      <c r="D32" s="9" t="s">
        <v>62</v>
      </c>
      <c r="E32" s="9" t="s">
        <v>160</v>
      </c>
      <c r="F32" s="9" t="s">
        <v>162</v>
      </c>
      <c r="G32" s="9" t="s">
        <v>168</v>
      </c>
      <c r="H32" s="9" t="s">
        <v>175</v>
      </c>
      <c r="I32" s="9" t="s">
        <v>66</v>
      </c>
      <c r="J32" s="9">
        <v>6</v>
      </c>
      <c r="K32" s="9" t="s">
        <v>128</v>
      </c>
      <c r="L32" s="9">
        <v>10</v>
      </c>
      <c r="M32" s="9">
        <v>80.276759999999996</v>
      </c>
      <c r="N32" s="9">
        <v>3.8084100000000092</v>
      </c>
      <c r="O32" s="9">
        <f t="shared" si="7"/>
        <v>12.043249863761888</v>
      </c>
      <c r="P32" s="9">
        <v>10</v>
      </c>
      <c r="Q32" s="9">
        <v>99.239490000000004</v>
      </c>
      <c r="R32" s="9">
        <v>5.6729600000000033</v>
      </c>
      <c r="S32" s="9">
        <f t="shared" si="0"/>
        <v>17.939474675028819</v>
      </c>
      <c r="T32" s="9">
        <v>10</v>
      </c>
      <c r="U32" s="9">
        <v>0.26037500000000002</v>
      </c>
      <c r="V32" s="9">
        <v>0.26037500000000002</v>
      </c>
      <c r="W32" s="9">
        <f t="shared" si="10"/>
        <v>260.375</v>
      </c>
      <c r="X32" s="9" t="str">
        <f t="shared" si="5"/>
        <v>High</v>
      </c>
      <c r="Y32" s="9" t="s">
        <v>165</v>
      </c>
      <c r="Z32" s="9">
        <f t="shared" si="6"/>
        <v>-0.21205585538425661</v>
      </c>
      <c r="AA32" s="9">
        <f t="shared" si="2"/>
        <v>2.2506487514742752E-3</v>
      </c>
      <c r="AB32" s="9">
        <f t="shared" si="3"/>
        <v>3.2677618277879594E-3</v>
      </c>
      <c r="AC32" s="9">
        <f t="shared" si="4"/>
        <v>5.518410579262235E-3</v>
      </c>
      <c r="AD32" s="9" t="s">
        <v>163</v>
      </c>
      <c r="AF32" s="9" t="s">
        <v>174</v>
      </c>
    </row>
    <row r="33" spans="1:32" s="9" customFormat="1" ht="15.75" x14ac:dyDescent="0.2">
      <c r="A33" s="9">
        <v>32</v>
      </c>
      <c r="B33" s="9">
        <v>6</v>
      </c>
      <c r="C33" s="9" t="s">
        <v>161</v>
      </c>
      <c r="D33" s="9" t="s">
        <v>62</v>
      </c>
      <c r="E33" s="9" t="s">
        <v>160</v>
      </c>
      <c r="F33" s="9" t="s">
        <v>162</v>
      </c>
      <c r="G33" s="9" t="s">
        <v>168</v>
      </c>
      <c r="H33" s="9" t="s">
        <v>175</v>
      </c>
      <c r="I33" s="9" t="s">
        <v>66</v>
      </c>
      <c r="J33" s="9">
        <v>6</v>
      </c>
      <c r="K33" s="9" t="s">
        <v>128</v>
      </c>
      <c r="L33" s="9">
        <v>10</v>
      </c>
      <c r="M33" s="9">
        <v>82.022279999999995</v>
      </c>
      <c r="N33" s="9">
        <v>3.4117099999999994</v>
      </c>
      <c r="O33" s="9">
        <f t="shared" si="7"/>
        <v>10.788774315973059</v>
      </c>
      <c r="P33" s="9">
        <v>10</v>
      </c>
      <c r="Q33" s="9">
        <v>99.239490000000004</v>
      </c>
      <c r="R33" s="9">
        <v>5.6729600000000033</v>
      </c>
      <c r="S33" s="9">
        <f t="shared" si="0"/>
        <v>17.939474675028819</v>
      </c>
      <c r="T33" s="9">
        <v>10</v>
      </c>
      <c r="U33" s="9">
        <v>0.26037500000000002</v>
      </c>
      <c r="V33" s="9">
        <v>0.26037500000000002</v>
      </c>
      <c r="W33" s="9">
        <f t="shared" si="10"/>
        <v>260.375</v>
      </c>
      <c r="X33" s="9" t="str">
        <f t="shared" si="5"/>
        <v>High</v>
      </c>
      <c r="Y33" s="9" t="s">
        <v>166</v>
      </c>
      <c r="Z33" s="9">
        <f t="shared" si="6"/>
        <v>-0.19054510207798528</v>
      </c>
      <c r="AA33" s="9">
        <f t="shared" si="2"/>
        <v>1.7301371925003335E-3</v>
      </c>
      <c r="AB33" s="9">
        <f t="shared" si="3"/>
        <v>3.2677618277879594E-3</v>
      </c>
      <c r="AC33" s="9">
        <f t="shared" si="4"/>
        <v>4.9978990202882928E-3</v>
      </c>
      <c r="AD33" s="9" t="s">
        <v>163</v>
      </c>
      <c r="AF33" s="9" t="s">
        <v>174</v>
      </c>
    </row>
    <row r="34" spans="1:32" s="9" customFormat="1" ht="15.75" x14ac:dyDescent="0.2">
      <c r="A34" s="9">
        <v>33</v>
      </c>
      <c r="B34" s="9">
        <v>6</v>
      </c>
      <c r="C34" s="9" t="s">
        <v>161</v>
      </c>
      <c r="D34" s="9" t="s">
        <v>62</v>
      </c>
      <c r="E34" s="9" t="s">
        <v>160</v>
      </c>
      <c r="F34" s="9" t="s">
        <v>162</v>
      </c>
      <c r="G34" s="9" t="s">
        <v>168</v>
      </c>
      <c r="H34" s="9" t="s">
        <v>175</v>
      </c>
      <c r="I34" s="9" t="s">
        <v>66</v>
      </c>
      <c r="J34" s="9">
        <v>6</v>
      </c>
      <c r="K34" s="9" t="s">
        <v>128</v>
      </c>
      <c r="L34" s="9">
        <v>10</v>
      </c>
      <c r="M34" s="9">
        <v>59.925539999999998</v>
      </c>
      <c r="N34" s="9">
        <v>2.9356500000000025</v>
      </c>
      <c r="O34" s="9">
        <f t="shared" si="7"/>
        <v>9.2833404130733115</v>
      </c>
      <c r="P34" s="9">
        <v>10</v>
      </c>
      <c r="Q34" s="9">
        <v>99.239490000000004</v>
      </c>
      <c r="R34" s="9">
        <v>5.6729600000000033</v>
      </c>
      <c r="S34" s="9">
        <f t="shared" si="0"/>
        <v>17.939474675028819</v>
      </c>
      <c r="T34" s="9">
        <v>10</v>
      </c>
      <c r="U34" s="9">
        <v>1.3018749999999999</v>
      </c>
      <c r="V34" s="9">
        <v>1.3018749999999999</v>
      </c>
      <c r="W34" s="9">
        <f t="shared" si="10"/>
        <v>1301.875</v>
      </c>
      <c r="X34" s="9" t="str">
        <f t="shared" si="5"/>
        <v>High</v>
      </c>
      <c r="Y34" s="9" t="s">
        <v>164</v>
      </c>
      <c r="Z34" s="9">
        <f t="shared" si="6"/>
        <v>-0.50443322820963654</v>
      </c>
      <c r="AA34" s="9">
        <f t="shared" si="2"/>
        <v>2.3998529954166277E-3</v>
      </c>
      <c r="AB34" s="9">
        <f t="shared" si="3"/>
        <v>3.2677618277879594E-3</v>
      </c>
      <c r="AC34" s="9">
        <f t="shared" si="4"/>
        <v>5.6676148232045875E-3</v>
      </c>
      <c r="AD34" s="9" t="s">
        <v>163</v>
      </c>
      <c r="AF34" s="9" t="s">
        <v>174</v>
      </c>
    </row>
    <row r="35" spans="1:32" s="9" customFormat="1" ht="15.75" x14ac:dyDescent="0.2">
      <c r="A35" s="9">
        <v>34</v>
      </c>
      <c r="B35" s="9">
        <v>6</v>
      </c>
      <c r="C35" s="9" t="s">
        <v>161</v>
      </c>
      <c r="D35" s="9" t="s">
        <v>62</v>
      </c>
      <c r="E35" s="9" t="s">
        <v>160</v>
      </c>
      <c r="F35" s="9" t="s">
        <v>162</v>
      </c>
      <c r="G35" s="9" t="s">
        <v>168</v>
      </c>
      <c r="H35" s="9" t="s">
        <v>175</v>
      </c>
      <c r="I35" s="9" t="s">
        <v>66</v>
      </c>
      <c r="J35" s="9">
        <v>6</v>
      </c>
      <c r="K35" s="9" t="s">
        <v>128</v>
      </c>
      <c r="L35" s="9">
        <v>10</v>
      </c>
      <c r="M35" s="9">
        <v>64.606710000000007</v>
      </c>
      <c r="N35" s="9">
        <v>3.2530299999999954</v>
      </c>
      <c r="O35" s="9">
        <f t="shared" si="7"/>
        <v>10.286984096857529</v>
      </c>
      <c r="P35" s="9">
        <v>10</v>
      </c>
      <c r="Q35" s="9">
        <v>99.239490000000004</v>
      </c>
      <c r="R35" s="9">
        <v>5.6729600000000033</v>
      </c>
      <c r="S35" s="9">
        <f t="shared" si="0"/>
        <v>17.939474675028819</v>
      </c>
      <c r="T35" s="9">
        <v>10</v>
      </c>
      <c r="U35" s="9">
        <v>1.3018749999999999</v>
      </c>
      <c r="V35" s="9">
        <v>1.3018749999999999</v>
      </c>
      <c r="W35" s="9">
        <f t="shared" si="10"/>
        <v>1301.875</v>
      </c>
      <c r="X35" s="9" t="str">
        <f t="shared" si="5"/>
        <v>High</v>
      </c>
      <c r="Y35" s="9" t="s">
        <v>165</v>
      </c>
      <c r="Z35" s="9">
        <f t="shared" si="6"/>
        <v>-0.42921774439007865</v>
      </c>
      <c r="AA35" s="9">
        <f t="shared" si="2"/>
        <v>2.5352505480078667E-3</v>
      </c>
      <c r="AB35" s="9">
        <f t="shared" si="3"/>
        <v>3.2677618277879594E-3</v>
      </c>
      <c r="AC35" s="9">
        <f t="shared" si="4"/>
        <v>5.8030123757958265E-3</v>
      </c>
      <c r="AD35" s="9" t="s">
        <v>163</v>
      </c>
      <c r="AF35" s="9" t="s">
        <v>174</v>
      </c>
    </row>
    <row r="36" spans="1:32" s="9" customFormat="1" ht="15.75" x14ac:dyDescent="0.2">
      <c r="A36" s="9">
        <v>35</v>
      </c>
      <c r="B36" s="9">
        <v>6</v>
      </c>
      <c r="C36" s="9" t="s">
        <v>161</v>
      </c>
      <c r="D36" s="9" t="s">
        <v>62</v>
      </c>
      <c r="E36" s="9" t="s">
        <v>160</v>
      </c>
      <c r="F36" s="9" t="s">
        <v>162</v>
      </c>
      <c r="G36" s="9" t="s">
        <v>168</v>
      </c>
      <c r="H36" s="9" t="s">
        <v>175</v>
      </c>
      <c r="I36" s="9" t="s">
        <v>66</v>
      </c>
      <c r="J36" s="9">
        <v>6</v>
      </c>
      <c r="K36" s="9" t="s">
        <v>128</v>
      </c>
      <c r="L36" s="9">
        <v>10</v>
      </c>
      <c r="M36" s="9">
        <v>67.185329999999993</v>
      </c>
      <c r="N36" s="9">
        <v>3.0943400000000025</v>
      </c>
      <c r="O36" s="9">
        <f t="shared" si="7"/>
        <v>9.7851622549654316</v>
      </c>
      <c r="P36" s="9">
        <v>10</v>
      </c>
      <c r="Q36" s="9">
        <v>99.239490000000004</v>
      </c>
      <c r="R36" s="9">
        <v>5.6729600000000033</v>
      </c>
      <c r="S36" s="9">
        <f t="shared" si="0"/>
        <v>17.939474675028819</v>
      </c>
      <c r="T36" s="9">
        <v>10</v>
      </c>
      <c r="U36" s="9">
        <v>1.3018749999999999</v>
      </c>
      <c r="V36" s="9">
        <v>1.3018749999999999</v>
      </c>
      <c r="W36" s="9">
        <f t="shared" si="10"/>
        <v>1301.875</v>
      </c>
      <c r="X36" s="9" t="str">
        <f t="shared" si="5"/>
        <v>High</v>
      </c>
      <c r="Y36" s="9" t="s">
        <v>166</v>
      </c>
      <c r="Z36" s="9">
        <f t="shared" si="6"/>
        <v>-0.39008109962758125</v>
      </c>
      <c r="AA36" s="9">
        <f t="shared" si="2"/>
        <v>2.1212270346454894E-3</v>
      </c>
      <c r="AB36" s="9">
        <f t="shared" si="3"/>
        <v>3.2677618277879594E-3</v>
      </c>
      <c r="AC36" s="9">
        <f t="shared" si="4"/>
        <v>5.3889888624334484E-3</v>
      </c>
      <c r="AD36" s="9" t="s">
        <v>163</v>
      </c>
      <c r="AF36" s="9" t="s">
        <v>174</v>
      </c>
    </row>
    <row r="37" spans="1:32" s="9" customFormat="1" ht="15.75" x14ac:dyDescent="0.2">
      <c r="A37" s="9">
        <v>36</v>
      </c>
      <c r="B37" s="9">
        <v>6</v>
      </c>
      <c r="C37" s="9" t="s">
        <v>161</v>
      </c>
      <c r="D37" s="9" t="s">
        <v>62</v>
      </c>
      <c r="E37" s="9" t="s">
        <v>160</v>
      </c>
      <c r="F37" s="9" t="s">
        <v>162</v>
      </c>
      <c r="G37" s="9" t="s">
        <v>168</v>
      </c>
      <c r="H37" s="9" t="s">
        <v>175</v>
      </c>
      <c r="I37" s="9" t="s">
        <v>66</v>
      </c>
      <c r="J37" s="9">
        <v>6</v>
      </c>
      <c r="K37" s="9" t="s">
        <v>128</v>
      </c>
      <c r="L37" s="9">
        <v>10</v>
      </c>
      <c r="M37" s="9">
        <v>51.158250000000002</v>
      </c>
      <c r="N37" s="9">
        <v>2.4199300000000008</v>
      </c>
      <c r="O37" s="9">
        <f t="shared" si="7"/>
        <v>7.6524905781712693</v>
      </c>
      <c r="P37" s="9">
        <v>10</v>
      </c>
      <c r="Q37" s="9">
        <v>99.239490000000004</v>
      </c>
      <c r="R37" s="9">
        <v>5.6729600000000033</v>
      </c>
      <c r="S37" s="9">
        <f t="shared" si="0"/>
        <v>17.939474675028819</v>
      </c>
      <c r="T37" s="9">
        <v>10</v>
      </c>
      <c r="U37" s="9">
        <v>2.6037499999999998</v>
      </c>
      <c r="V37" s="9">
        <v>2.6037499999999998</v>
      </c>
      <c r="W37" s="9">
        <f t="shared" si="10"/>
        <v>2603.75</v>
      </c>
      <c r="X37" s="9" t="str">
        <f t="shared" si="5"/>
        <v>High</v>
      </c>
      <c r="Y37" s="9" t="s">
        <v>164</v>
      </c>
      <c r="Z37" s="9">
        <f t="shared" si="6"/>
        <v>-0.66261225003923285</v>
      </c>
      <c r="AA37" s="9">
        <f t="shared" si="2"/>
        <v>2.2375577207430918E-3</v>
      </c>
      <c r="AB37" s="9">
        <f t="shared" si="3"/>
        <v>3.2677618277879594E-3</v>
      </c>
      <c r="AC37" s="9">
        <f t="shared" si="4"/>
        <v>5.5053195485310511E-3</v>
      </c>
      <c r="AD37" s="9" t="s">
        <v>163</v>
      </c>
      <c r="AF37" s="9" t="s">
        <v>174</v>
      </c>
    </row>
    <row r="38" spans="1:32" s="9" customFormat="1" ht="15.75" x14ac:dyDescent="0.2">
      <c r="A38" s="9">
        <v>37</v>
      </c>
      <c r="B38" s="9">
        <v>6</v>
      </c>
      <c r="C38" s="9" t="s">
        <v>161</v>
      </c>
      <c r="D38" s="9" t="s">
        <v>62</v>
      </c>
      <c r="E38" s="9" t="s">
        <v>160</v>
      </c>
      <c r="F38" s="9" t="s">
        <v>162</v>
      </c>
      <c r="G38" s="9" t="s">
        <v>168</v>
      </c>
      <c r="H38" s="9" t="s">
        <v>175</v>
      </c>
      <c r="I38" s="9" t="s">
        <v>66</v>
      </c>
      <c r="J38" s="9">
        <v>6</v>
      </c>
      <c r="K38" s="9" t="s">
        <v>128</v>
      </c>
      <c r="L38" s="9">
        <v>10</v>
      </c>
      <c r="M38" s="9">
        <v>55.799750000000003</v>
      </c>
      <c r="N38" s="9">
        <v>2.9356599999999986</v>
      </c>
      <c r="O38" s="9">
        <f t="shared" si="7"/>
        <v>9.2833720358499008</v>
      </c>
      <c r="P38" s="9">
        <v>10</v>
      </c>
      <c r="Q38" s="9">
        <v>99.239490000000004</v>
      </c>
      <c r="R38" s="9">
        <v>5.6729600000000033</v>
      </c>
      <c r="S38" s="9">
        <f t="shared" si="0"/>
        <v>17.939474675028819</v>
      </c>
      <c r="T38" s="9">
        <v>10</v>
      </c>
      <c r="U38" s="9">
        <v>2.6037499999999998</v>
      </c>
      <c r="V38" s="9">
        <v>2.6037499999999998</v>
      </c>
      <c r="W38" s="9">
        <f t="shared" si="10"/>
        <v>2603.75</v>
      </c>
      <c r="X38" s="9" t="str">
        <f t="shared" si="5"/>
        <v>High</v>
      </c>
      <c r="Y38" s="9" t="s">
        <v>165</v>
      </c>
      <c r="Z38" s="9">
        <f t="shared" si="6"/>
        <v>-0.57576663066307299</v>
      </c>
      <c r="AA38" s="9">
        <f t="shared" si="2"/>
        <v>2.7678783864653533E-3</v>
      </c>
      <c r="AB38" s="9">
        <f t="shared" si="3"/>
        <v>3.2677618277879594E-3</v>
      </c>
      <c r="AC38" s="9">
        <f t="shared" si="4"/>
        <v>6.0356402142533131E-3</v>
      </c>
      <c r="AD38" s="9" t="s">
        <v>163</v>
      </c>
      <c r="AF38" s="9" t="s">
        <v>174</v>
      </c>
    </row>
    <row r="39" spans="1:32" s="9" customFormat="1" ht="15.75" x14ac:dyDescent="0.2">
      <c r="A39" s="9">
        <v>38</v>
      </c>
      <c r="B39" s="9">
        <v>6</v>
      </c>
      <c r="C39" s="9" t="s">
        <v>161</v>
      </c>
      <c r="D39" s="9" t="s">
        <v>62</v>
      </c>
      <c r="E39" s="9" t="s">
        <v>160</v>
      </c>
      <c r="F39" s="9" t="s">
        <v>162</v>
      </c>
      <c r="G39" s="9" t="s">
        <v>168</v>
      </c>
      <c r="H39" s="9" t="s">
        <v>175</v>
      </c>
      <c r="I39" s="9" t="s">
        <v>66</v>
      </c>
      <c r="J39" s="9">
        <v>6</v>
      </c>
      <c r="K39" s="9" t="s">
        <v>128</v>
      </c>
      <c r="L39" s="9">
        <v>10</v>
      </c>
      <c r="M39" s="9">
        <v>58.735410000000002</v>
      </c>
      <c r="N39" s="9">
        <v>3.0943299999999994</v>
      </c>
      <c r="O39" s="9">
        <f t="shared" si="7"/>
        <v>9.7851306321888192</v>
      </c>
      <c r="P39" s="9">
        <v>10</v>
      </c>
      <c r="Q39" s="9">
        <v>99.239490000000004</v>
      </c>
      <c r="R39" s="9">
        <v>5.6729600000000033</v>
      </c>
      <c r="S39" s="9">
        <f t="shared" si="0"/>
        <v>17.939474675028819</v>
      </c>
      <c r="T39" s="9">
        <v>10</v>
      </c>
      <c r="U39" s="9">
        <v>2.6037499999999998</v>
      </c>
      <c r="V39" s="9">
        <v>2.6037499999999998</v>
      </c>
      <c r="W39" s="9">
        <f t="shared" si="10"/>
        <v>2603.75</v>
      </c>
      <c r="X39" s="9" t="str">
        <f t="shared" si="5"/>
        <v>High</v>
      </c>
      <c r="Y39" s="9" t="s">
        <v>166</v>
      </c>
      <c r="Z39" s="9">
        <f t="shared" si="6"/>
        <v>-0.52449323799641667</v>
      </c>
      <c r="AA39" s="9">
        <f t="shared" si="2"/>
        <v>2.7754489683000168E-3</v>
      </c>
      <c r="AB39" s="9">
        <f t="shared" si="3"/>
        <v>3.2677618277879594E-3</v>
      </c>
      <c r="AC39" s="9">
        <f t="shared" si="4"/>
        <v>6.0432107960879762E-3</v>
      </c>
      <c r="AD39" s="9" t="s">
        <v>163</v>
      </c>
      <c r="AF39" s="9" t="s">
        <v>174</v>
      </c>
    </row>
    <row r="40" spans="1:32" s="10" customFormat="1" ht="15.75" x14ac:dyDescent="0.2">
      <c r="A40" s="10">
        <v>39</v>
      </c>
      <c r="B40" s="10">
        <v>7</v>
      </c>
      <c r="C40" s="10" t="s">
        <v>8</v>
      </c>
      <c r="D40" s="10" t="s">
        <v>177</v>
      </c>
      <c r="E40" s="10" t="s">
        <v>180</v>
      </c>
      <c r="F40" s="10" t="s">
        <v>178</v>
      </c>
      <c r="G40" s="10" t="s">
        <v>168</v>
      </c>
      <c r="H40" s="10" t="s">
        <v>183</v>
      </c>
      <c r="I40" s="10" t="s">
        <v>184</v>
      </c>
      <c r="J40" s="10">
        <v>7</v>
      </c>
      <c r="K40" s="10" t="s">
        <v>182</v>
      </c>
      <c r="L40" s="10">
        <v>3</v>
      </c>
      <c r="M40" s="10">
        <v>11.58572</v>
      </c>
      <c r="N40" s="10">
        <v>0.56846999999999959</v>
      </c>
      <c r="O40" s="10">
        <f t="shared" si="7"/>
        <v>0.98461892257867889</v>
      </c>
      <c r="P40" s="10">
        <v>3</v>
      </c>
      <c r="Q40" s="10">
        <v>6.4288499999999997</v>
      </c>
      <c r="R40" s="10">
        <v>0.54817000000000071</v>
      </c>
      <c r="S40" s="10">
        <f t="shared" si="0"/>
        <v>0.94945829118503267</v>
      </c>
      <c r="T40" s="10">
        <v>3</v>
      </c>
      <c r="U40" s="10" t="s">
        <v>716</v>
      </c>
      <c r="V40" s="10">
        <v>0.25</v>
      </c>
      <c r="W40" s="10">
        <f>(V40/1000) / 0.5 * 1000</f>
        <v>0.5</v>
      </c>
      <c r="X40" s="10" t="str">
        <f t="shared" si="5"/>
        <v>Low</v>
      </c>
      <c r="Y40" s="10" t="s">
        <v>181</v>
      </c>
      <c r="Z40" s="10">
        <f t="shared" si="6"/>
        <v>0.58897763217470345</v>
      </c>
      <c r="AA40" s="10">
        <f t="shared" si="2"/>
        <v>2.4075152358123387E-3</v>
      </c>
      <c r="AB40" s="10">
        <f t="shared" si="3"/>
        <v>7.2704943687369235E-3</v>
      </c>
      <c r="AC40" s="10">
        <f t="shared" si="4"/>
        <v>9.6780096045492627E-3</v>
      </c>
      <c r="AD40" s="10" t="s">
        <v>179</v>
      </c>
    </row>
    <row r="41" spans="1:32" s="11" customFormat="1" ht="15.75" x14ac:dyDescent="0.2">
      <c r="A41" s="11">
        <v>40</v>
      </c>
      <c r="B41" s="11">
        <v>8</v>
      </c>
      <c r="C41" s="11" t="s">
        <v>9</v>
      </c>
      <c r="D41" s="11" t="s">
        <v>198</v>
      </c>
      <c r="E41" s="11" t="s">
        <v>199</v>
      </c>
      <c r="F41" s="11" t="s">
        <v>64</v>
      </c>
      <c r="G41" s="11" t="s">
        <v>204</v>
      </c>
      <c r="H41" s="11" t="s">
        <v>94</v>
      </c>
      <c r="I41" s="11" t="s">
        <v>66</v>
      </c>
      <c r="J41" s="11">
        <v>8</v>
      </c>
      <c r="K41" s="11" t="s">
        <v>203</v>
      </c>
      <c r="L41" s="11">
        <v>6</v>
      </c>
      <c r="M41" s="11">
        <v>2.12</v>
      </c>
      <c r="N41" s="11">
        <v>0.3</v>
      </c>
      <c r="O41" s="11">
        <f t="shared" si="7"/>
        <v>0.73484692283495334</v>
      </c>
      <c r="P41" s="11">
        <v>6</v>
      </c>
      <c r="Q41" s="11">
        <v>1.21</v>
      </c>
      <c r="R41" s="11">
        <v>0</v>
      </c>
      <c r="S41" s="11">
        <f t="shared" si="0"/>
        <v>0</v>
      </c>
      <c r="T41" s="11">
        <v>6</v>
      </c>
      <c r="U41" s="11" t="s">
        <v>717</v>
      </c>
      <c r="V41" s="11">
        <v>15</v>
      </c>
      <c r="W41" s="11">
        <f>V41/1000 / (14985/1000000)</f>
        <v>1.0010010010010009</v>
      </c>
      <c r="X41" s="11" t="str">
        <f t="shared" si="5"/>
        <v>Medium</v>
      </c>
      <c r="Y41" s="11" t="s">
        <v>200</v>
      </c>
      <c r="Z41" s="11">
        <f>LN(M41/Q41)</f>
        <v>0.56079572907527142</v>
      </c>
      <c r="AA41" s="11">
        <f t="shared" si="2"/>
        <v>2.0024919900320393E-2</v>
      </c>
      <c r="AB41" s="11">
        <f t="shared" si="3"/>
        <v>0</v>
      </c>
      <c r="AC41" s="11">
        <f t="shared" si="4"/>
        <v>2.0024919900320393E-2</v>
      </c>
      <c r="AD41" s="11" t="s">
        <v>201</v>
      </c>
      <c r="AF41" s="11" t="s">
        <v>691</v>
      </c>
    </row>
    <row r="42" spans="1:32" s="11" customFormat="1" ht="15.75" x14ac:dyDescent="0.2">
      <c r="A42" s="11">
        <v>41</v>
      </c>
      <c r="B42" s="11">
        <v>8</v>
      </c>
      <c r="C42" s="11" t="s">
        <v>9</v>
      </c>
      <c r="D42" s="11" t="s">
        <v>198</v>
      </c>
      <c r="E42" s="11" t="s">
        <v>199</v>
      </c>
      <c r="F42" s="11" t="s">
        <v>64</v>
      </c>
      <c r="G42" s="11" t="s">
        <v>204</v>
      </c>
      <c r="H42" s="11" t="s">
        <v>94</v>
      </c>
      <c r="I42" s="11" t="s">
        <v>66</v>
      </c>
      <c r="J42" s="11">
        <v>8</v>
      </c>
      <c r="K42" s="11" t="s">
        <v>203</v>
      </c>
      <c r="L42" s="11">
        <v>6</v>
      </c>
      <c r="M42" s="11">
        <v>7.2</v>
      </c>
      <c r="N42" s="11">
        <v>1.45</v>
      </c>
      <c r="O42" s="11">
        <f t="shared" si="7"/>
        <v>3.5517601270356076</v>
      </c>
      <c r="P42" s="11">
        <v>6</v>
      </c>
      <c r="Q42" s="11">
        <v>5.42</v>
      </c>
      <c r="R42" s="11">
        <v>0</v>
      </c>
      <c r="S42" s="11">
        <f t="shared" si="0"/>
        <v>0</v>
      </c>
      <c r="T42" s="11">
        <v>6</v>
      </c>
      <c r="U42" s="11" t="s">
        <v>718</v>
      </c>
      <c r="V42" s="11">
        <v>300</v>
      </c>
      <c r="W42" s="11">
        <f>V42/1000 /(14700/1000000)</f>
        <v>20.408163265306122</v>
      </c>
      <c r="X42" s="11" t="str">
        <f t="shared" si="5"/>
        <v>High</v>
      </c>
      <c r="Y42" s="11" t="s">
        <v>200</v>
      </c>
      <c r="Z42" s="11">
        <f t="shared" si="6"/>
        <v>0.28398521057045478</v>
      </c>
      <c r="AA42" s="11">
        <f t="shared" si="2"/>
        <v>4.0557484567901217E-2</v>
      </c>
      <c r="AB42" s="11">
        <f t="shared" si="3"/>
        <v>0</v>
      </c>
      <c r="AC42" s="11">
        <f t="shared" si="4"/>
        <v>4.0557484567901217E-2</v>
      </c>
      <c r="AD42" s="11" t="s">
        <v>201</v>
      </c>
      <c r="AF42" s="11" t="s">
        <v>205</v>
      </c>
    </row>
    <row r="43" spans="1:32" s="11" customFormat="1" ht="15.75" x14ac:dyDescent="0.2">
      <c r="A43" s="11">
        <v>42</v>
      </c>
      <c r="B43" s="11">
        <v>8</v>
      </c>
      <c r="C43" s="11" t="s">
        <v>9</v>
      </c>
      <c r="D43" s="11" t="s">
        <v>198</v>
      </c>
      <c r="E43" s="11" t="s">
        <v>199</v>
      </c>
      <c r="F43" s="11" t="s">
        <v>64</v>
      </c>
      <c r="G43" s="11" t="s">
        <v>204</v>
      </c>
      <c r="H43" s="11" t="s">
        <v>94</v>
      </c>
      <c r="I43" s="11" t="s">
        <v>66</v>
      </c>
      <c r="J43" s="11">
        <v>8</v>
      </c>
      <c r="K43" s="11" t="s">
        <v>203</v>
      </c>
      <c r="L43" s="11">
        <v>5</v>
      </c>
      <c r="M43" s="11">
        <v>1.35</v>
      </c>
      <c r="N43" s="11">
        <v>0.12</v>
      </c>
      <c r="O43" s="11">
        <f t="shared" si="7"/>
        <v>0.26832815729997478</v>
      </c>
      <c r="P43" s="11">
        <v>5</v>
      </c>
      <c r="Q43" s="11">
        <v>1.21</v>
      </c>
      <c r="R43" s="11">
        <v>0</v>
      </c>
      <c r="S43" s="11">
        <f t="shared" si="0"/>
        <v>0</v>
      </c>
      <c r="T43" s="11">
        <v>5</v>
      </c>
      <c r="U43" s="11" t="s">
        <v>717</v>
      </c>
      <c r="V43" s="11">
        <v>15</v>
      </c>
      <c r="W43" s="11">
        <f>V43/1000 / (14985/1000000)</f>
        <v>1.0010010010010009</v>
      </c>
      <c r="X43" s="11" t="str">
        <f t="shared" si="5"/>
        <v>Medium</v>
      </c>
      <c r="Y43" s="11" t="s">
        <v>200</v>
      </c>
      <c r="Z43" s="11">
        <f t="shared" si="6"/>
        <v>0.10948423284168841</v>
      </c>
      <c r="AA43" s="11">
        <f t="shared" si="2"/>
        <v>7.9012345679012348E-3</v>
      </c>
      <c r="AB43" s="11">
        <f t="shared" si="3"/>
        <v>0</v>
      </c>
      <c r="AC43" s="11">
        <f t="shared" si="4"/>
        <v>7.9012345679012348E-3</v>
      </c>
      <c r="AD43" s="11" t="s">
        <v>202</v>
      </c>
      <c r="AF43" s="11" t="s">
        <v>692</v>
      </c>
    </row>
    <row r="44" spans="1:32" s="11" customFormat="1" ht="15.75" x14ac:dyDescent="0.2">
      <c r="A44" s="11">
        <v>43</v>
      </c>
      <c r="B44" s="11">
        <v>8</v>
      </c>
      <c r="C44" s="11" t="s">
        <v>9</v>
      </c>
      <c r="D44" s="11" t="s">
        <v>198</v>
      </c>
      <c r="E44" s="11" t="s">
        <v>199</v>
      </c>
      <c r="F44" s="11" t="s">
        <v>64</v>
      </c>
      <c r="G44" s="11" t="s">
        <v>204</v>
      </c>
      <c r="H44" s="11" t="s">
        <v>94</v>
      </c>
      <c r="I44" s="11" t="s">
        <v>66</v>
      </c>
      <c r="J44" s="11">
        <v>8</v>
      </c>
      <c r="K44" s="11" t="s">
        <v>203</v>
      </c>
      <c r="L44" s="11">
        <v>5</v>
      </c>
      <c r="M44" s="11">
        <v>4.79</v>
      </c>
      <c r="N44" s="11">
        <v>0.87</v>
      </c>
      <c r="O44" s="11">
        <f t="shared" si="7"/>
        <v>1.9453791404248171</v>
      </c>
      <c r="P44" s="11">
        <v>5</v>
      </c>
      <c r="Q44" s="11">
        <v>5.42</v>
      </c>
      <c r="R44" s="11">
        <v>0</v>
      </c>
      <c r="S44" s="11">
        <f t="shared" si="0"/>
        <v>0</v>
      </c>
      <c r="T44" s="11">
        <v>5</v>
      </c>
      <c r="U44" s="11" t="s">
        <v>718</v>
      </c>
      <c r="V44" s="11">
        <v>300</v>
      </c>
      <c r="W44" s="11">
        <f>V44/1000 / (14700/1000000)</f>
        <v>20.408163265306122</v>
      </c>
      <c r="X44" s="11" t="str">
        <f t="shared" si="5"/>
        <v>High</v>
      </c>
      <c r="Y44" s="11" t="s">
        <v>200</v>
      </c>
      <c r="Z44" s="11">
        <f t="shared" si="6"/>
        <v>-0.12356540402873095</v>
      </c>
      <c r="AA44" s="11">
        <f t="shared" si="2"/>
        <v>3.298887295644632E-2</v>
      </c>
      <c r="AB44" s="11">
        <f t="shared" si="3"/>
        <v>0</v>
      </c>
      <c r="AC44" s="11">
        <f t="shared" si="4"/>
        <v>3.298887295644632E-2</v>
      </c>
      <c r="AD44" s="11" t="s">
        <v>202</v>
      </c>
      <c r="AF44" s="11" t="s">
        <v>206</v>
      </c>
    </row>
    <row r="45" spans="1:32" s="35" customFormat="1" ht="15.75" x14ac:dyDescent="0.2">
      <c r="A45" s="35">
        <v>44</v>
      </c>
      <c r="B45" s="35">
        <v>9</v>
      </c>
      <c r="C45" s="35" t="s">
        <v>533</v>
      </c>
      <c r="D45" s="35" t="s">
        <v>131</v>
      </c>
      <c r="E45" s="35" t="s">
        <v>535</v>
      </c>
      <c r="F45" s="35" t="s">
        <v>64</v>
      </c>
      <c r="G45" s="35" t="s">
        <v>518</v>
      </c>
      <c r="H45" s="35" t="s">
        <v>517</v>
      </c>
      <c r="I45" s="35" t="s">
        <v>537</v>
      </c>
      <c r="J45" s="35">
        <v>9</v>
      </c>
      <c r="K45" s="35" t="s">
        <v>546</v>
      </c>
      <c r="L45" s="35">
        <v>3</v>
      </c>
      <c r="M45" s="35">
        <v>2377.0569099999998</v>
      </c>
      <c r="N45" s="35">
        <v>636.88859000000002</v>
      </c>
      <c r="O45" s="35">
        <f t="shared" si="7"/>
        <v>1103.1233966409036</v>
      </c>
      <c r="P45" s="35">
        <v>3</v>
      </c>
      <c r="Q45" s="35">
        <v>2624.7358100000001</v>
      </c>
      <c r="R45" s="35">
        <v>389.20968999999968</v>
      </c>
      <c r="S45" s="35">
        <f t="shared" si="0"/>
        <v>674.13095787813177</v>
      </c>
      <c r="T45" s="35">
        <v>3</v>
      </c>
      <c r="U45" s="35" t="s">
        <v>539</v>
      </c>
      <c r="V45" s="35">
        <v>0.1</v>
      </c>
      <c r="W45" s="35">
        <f>V45 * 1</f>
        <v>0.1</v>
      </c>
      <c r="X45" s="35" t="str">
        <f t="shared" si="5"/>
        <v>Low</v>
      </c>
      <c r="Y45" s="35" t="s">
        <v>538</v>
      </c>
      <c r="Z45" s="35">
        <f t="shared" si="6"/>
        <v>-9.911711713405584E-2</v>
      </c>
      <c r="AA45" s="35">
        <f t="shared" si="2"/>
        <v>7.1787326230697598E-2</v>
      </c>
      <c r="AB45" s="35">
        <f t="shared" si="3"/>
        <v>2.1988524884784876E-2</v>
      </c>
      <c r="AC45" s="35">
        <f t="shared" si="4"/>
        <v>9.3775851115482478E-2</v>
      </c>
      <c r="AD45" s="35" t="s">
        <v>534</v>
      </c>
      <c r="AF45" s="35" t="s">
        <v>544</v>
      </c>
    </row>
    <row r="46" spans="1:32" s="35" customFormat="1" ht="15.75" x14ac:dyDescent="0.2">
      <c r="A46" s="35">
        <v>45</v>
      </c>
      <c r="B46" s="35">
        <v>9</v>
      </c>
      <c r="C46" s="35" t="s">
        <v>533</v>
      </c>
      <c r="D46" s="35" t="s">
        <v>131</v>
      </c>
      <c r="E46" s="35" t="s">
        <v>535</v>
      </c>
      <c r="F46" s="35" t="s">
        <v>64</v>
      </c>
      <c r="G46" s="35" t="s">
        <v>518</v>
      </c>
      <c r="H46" s="35" t="s">
        <v>517</v>
      </c>
      <c r="I46" s="35" t="s">
        <v>537</v>
      </c>
      <c r="J46" s="35">
        <v>9</v>
      </c>
      <c r="K46" s="35" t="s">
        <v>546</v>
      </c>
      <c r="L46" s="35">
        <v>3</v>
      </c>
      <c r="M46" s="35">
        <v>4146.1918800000003</v>
      </c>
      <c r="N46" s="35">
        <v>389.20968999999968</v>
      </c>
      <c r="O46" s="35">
        <f t="shared" si="7"/>
        <v>674.13095787813177</v>
      </c>
      <c r="P46" s="35">
        <v>3</v>
      </c>
      <c r="Q46" s="35">
        <v>2624.7358100000001</v>
      </c>
      <c r="R46" s="35">
        <v>389.20968999999968</v>
      </c>
      <c r="S46" s="35">
        <f t="shared" si="0"/>
        <v>674.13095787813177</v>
      </c>
      <c r="T46" s="35">
        <v>3</v>
      </c>
      <c r="U46" s="35" t="s">
        <v>540</v>
      </c>
      <c r="V46" s="35">
        <v>1</v>
      </c>
      <c r="W46" s="35">
        <f t="shared" ref="W46:W60" si="11">V46 * 1</f>
        <v>1</v>
      </c>
      <c r="X46" s="35" t="str">
        <f t="shared" si="5"/>
        <v>Low</v>
      </c>
      <c r="Y46" s="35" t="s">
        <v>538</v>
      </c>
      <c r="Z46" s="35">
        <f t="shared" si="6"/>
        <v>0.45721004652606428</v>
      </c>
      <c r="AA46" s="35">
        <f t="shared" si="2"/>
        <v>8.8118783876728248E-3</v>
      </c>
      <c r="AB46" s="35">
        <f t="shared" si="3"/>
        <v>2.1988524884784876E-2</v>
      </c>
      <c r="AC46" s="35">
        <f t="shared" si="4"/>
        <v>3.0800403272457699E-2</v>
      </c>
      <c r="AD46" s="35" t="s">
        <v>534</v>
      </c>
      <c r="AF46" s="35" t="s">
        <v>544</v>
      </c>
    </row>
    <row r="47" spans="1:32" s="35" customFormat="1" ht="15.75" x14ac:dyDescent="0.2">
      <c r="A47" s="35">
        <v>46</v>
      </c>
      <c r="B47" s="35">
        <v>9</v>
      </c>
      <c r="C47" s="35" t="s">
        <v>533</v>
      </c>
      <c r="D47" s="35" t="s">
        <v>131</v>
      </c>
      <c r="E47" s="35" t="s">
        <v>535</v>
      </c>
      <c r="F47" s="35" t="s">
        <v>64</v>
      </c>
      <c r="G47" s="35" t="s">
        <v>518</v>
      </c>
      <c r="H47" s="35" t="s">
        <v>517</v>
      </c>
      <c r="I47" s="35" t="s">
        <v>537</v>
      </c>
      <c r="J47" s="35">
        <v>9</v>
      </c>
      <c r="K47" s="35" t="s">
        <v>546</v>
      </c>
      <c r="L47" s="35">
        <v>3</v>
      </c>
      <c r="M47" s="35">
        <v>5950.7095399999998</v>
      </c>
      <c r="N47" s="35">
        <v>743.03668999999991</v>
      </c>
      <c r="O47" s="35">
        <f t="shared" si="7"/>
        <v>1286.9772989678054</v>
      </c>
      <c r="P47" s="35">
        <v>3</v>
      </c>
      <c r="Q47" s="35">
        <v>2624.7358100000001</v>
      </c>
      <c r="R47" s="35">
        <v>389.20968999999968</v>
      </c>
      <c r="S47" s="35">
        <f t="shared" si="0"/>
        <v>674.13095787813177</v>
      </c>
      <c r="T47" s="35">
        <v>3</v>
      </c>
      <c r="U47" s="35" t="s">
        <v>541</v>
      </c>
      <c r="V47" s="35">
        <v>10</v>
      </c>
      <c r="W47" s="35">
        <f t="shared" si="11"/>
        <v>10</v>
      </c>
      <c r="X47" s="35" t="str">
        <f t="shared" si="5"/>
        <v>High</v>
      </c>
      <c r="Y47" s="35" t="s">
        <v>538</v>
      </c>
      <c r="Z47" s="35">
        <f t="shared" si="6"/>
        <v>0.81853021569880502</v>
      </c>
      <c r="AA47" s="35">
        <f t="shared" si="2"/>
        <v>1.5591324598040598E-2</v>
      </c>
      <c r="AB47" s="35">
        <f t="shared" si="3"/>
        <v>2.1988524884784876E-2</v>
      </c>
      <c r="AC47" s="35">
        <f t="shared" si="4"/>
        <v>3.7579849482825473E-2</v>
      </c>
      <c r="AD47" s="35" t="s">
        <v>534</v>
      </c>
      <c r="AF47" s="35" t="s">
        <v>544</v>
      </c>
    </row>
    <row r="48" spans="1:32" s="35" customFormat="1" ht="15.75" x14ac:dyDescent="0.2">
      <c r="A48" s="35">
        <v>47</v>
      </c>
      <c r="B48" s="35">
        <v>9</v>
      </c>
      <c r="C48" s="35" t="s">
        <v>533</v>
      </c>
      <c r="D48" s="35" t="s">
        <v>131</v>
      </c>
      <c r="E48" s="35" t="s">
        <v>535</v>
      </c>
      <c r="F48" s="35" t="s">
        <v>64</v>
      </c>
      <c r="G48" s="35" t="s">
        <v>518</v>
      </c>
      <c r="H48" s="35" t="s">
        <v>517</v>
      </c>
      <c r="I48" s="35" t="s">
        <v>537</v>
      </c>
      <c r="J48" s="35">
        <v>9</v>
      </c>
      <c r="K48" s="35" t="s">
        <v>546</v>
      </c>
      <c r="L48" s="35">
        <v>3</v>
      </c>
      <c r="M48" s="35">
        <v>3155.4762999999998</v>
      </c>
      <c r="N48" s="35">
        <v>636.88859000000002</v>
      </c>
      <c r="O48" s="35">
        <f t="shared" si="7"/>
        <v>1103.1233966409036</v>
      </c>
      <c r="P48" s="35">
        <v>3</v>
      </c>
      <c r="Q48" s="35">
        <v>2624.7358100000001</v>
      </c>
      <c r="R48" s="35">
        <v>389.20968999999968</v>
      </c>
      <c r="S48" s="35">
        <f t="shared" si="0"/>
        <v>674.13095787813177</v>
      </c>
      <c r="T48" s="35">
        <v>3</v>
      </c>
      <c r="U48" s="35" t="s">
        <v>542</v>
      </c>
      <c r="V48" s="35">
        <v>20</v>
      </c>
      <c r="W48" s="35">
        <f t="shared" si="11"/>
        <v>20</v>
      </c>
      <c r="X48" s="35" t="str">
        <f t="shared" si="5"/>
        <v>High</v>
      </c>
      <c r="Y48" s="35" t="s">
        <v>538</v>
      </c>
      <c r="Z48" s="35">
        <f t="shared" si="6"/>
        <v>0.18415920414920556</v>
      </c>
      <c r="AA48" s="35">
        <f t="shared" si="2"/>
        <v>4.073775497072412E-2</v>
      </c>
      <c r="AB48" s="35">
        <f t="shared" si="3"/>
        <v>2.1988524884784876E-2</v>
      </c>
      <c r="AC48" s="35">
        <f t="shared" si="4"/>
        <v>6.2726279855508993E-2</v>
      </c>
      <c r="AD48" s="35" t="s">
        <v>534</v>
      </c>
      <c r="AF48" s="35" t="s">
        <v>544</v>
      </c>
    </row>
    <row r="49" spans="1:32" s="35" customFormat="1" ht="15.75" x14ac:dyDescent="0.2">
      <c r="A49" s="35">
        <v>48</v>
      </c>
      <c r="B49" s="35">
        <v>9</v>
      </c>
      <c r="C49" s="35" t="s">
        <v>533</v>
      </c>
      <c r="D49" s="35" t="s">
        <v>131</v>
      </c>
      <c r="E49" s="35" t="s">
        <v>535</v>
      </c>
      <c r="F49" s="35" t="s">
        <v>64</v>
      </c>
      <c r="G49" s="35" t="s">
        <v>543</v>
      </c>
      <c r="H49" s="35" t="s">
        <v>517</v>
      </c>
      <c r="I49" s="35" t="s">
        <v>537</v>
      </c>
      <c r="J49" s="35">
        <v>9</v>
      </c>
      <c r="K49" s="35" t="s">
        <v>546</v>
      </c>
      <c r="L49" s="35">
        <v>3</v>
      </c>
      <c r="M49" s="35">
        <v>19289.98717</v>
      </c>
      <c r="N49" s="35">
        <v>5342.7875899999999</v>
      </c>
      <c r="O49" s="35">
        <f t="shared" si="7"/>
        <v>9253.9795599284753</v>
      </c>
      <c r="P49" s="35">
        <v>3</v>
      </c>
      <c r="Q49" s="35">
        <v>14088.730369999999</v>
      </c>
      <c r="R49" s="35">
        <v>2158.3446600000007</v>
      </c>
      <c r="S49" s="35">
        <f t="shared" si="0"/>
        <v>3738.3626113649748</v>
      </c>
      <c r="T49" s="35">
        <v>3</v>
      </c>
      <c r="U49" s="35" t="s">
        <v>539</v>
      </c>
      <c r="V49" s="35">
        <v>0.1</v>
      </c>
      <c r="W49" s="35">
        <f t="shared" si="11"/>
        <v>0.1</v>
      </c>
      <c r="X49" s="35" t="str">
        <f t="shared" si="5"/>
        <v>Low</v>
      </c>
      <c r="Y49" s="35" t="s">
        <v>538</v>
      </c>
      <c r="Z49" s="35">
        <f t="shared" si="6"/>
        <v>0.31421094854304449</v>
      </c>
      <c r="AA49" s="35">
        <f t="shared" si="2"/>
        <v>7.6713525068961647E-2</v>
      </c>
      <c r="AB49" s="35">
        <f t="shared" si="3"/>
        <v>2.3469178004722466E-2</v>
      </c>
      <c r="AC49" s="35">
        <f t="shared" si="4"/>
        <v>0.10018270307368411</v>
      </c>
      <c r="AD49" s="35" t="s">
        <v>534</v>
      </c>
      <c r="AF49" s="35" t="s">
        <v>544</v>
      </c>
    </row>
    <row r="50" spans="1:32" s="35" customFormat="1" ht="15.75" x14ac:dyDescent="0.2">
      <c r="A50" s="35">
        <v>49</v>
      </c>
      <c r="B50" s="35">
        <v>9</v>
      </c>
      <c r="C50" s="35" t="s">
        <v>533</v>
      </c>
      <c r="D50" s="35" t="s">
        <v>131</v>
      </c>
      <c r="E50" s="35" t="s">
        <v>535</v>
      </c>
      <c r="F50" s="35" t="s">
        <v>64</v>
      </c>
      <c r="G50" s="35" t="s">
        <v>543</v>
      </c>
      <c r="H50" s="35" t="s">
        <v>517</v>
      </c>
      <c r="I50" s="35" t="s">
        <v>537</v>
      </c>
      <c r="J50" s="35">
        <v>9</v>
      </c>
      <c r="K50" s="35" t="s">
        <v>546</v>
      </c>
      <c r="L50" s="35">
        <v>3</v>
      </c>
      <c r="M50" s="35">
        <v>23712.82458</v>
      </c>
      <c r="N50" s="35">
        <v>2052.1965600000003</v>
      </c>
      <c r="O50" s="35">
        <f t="shared" si="7"/>
        <v>3554.5087090380721</v>
      </c>
      <c r="P50" s="35">
        <v>3</v>
      </c>
      <c r="Q50" s="35">
        <v>14088.730369999999</v>
      </c>
      <c r="R50" s="35">
        <v>2158.3446600000007</v>
      </c>
      <c r="S50" s="35">
        <f t="shared" si="0"/>
        <v>3738.3626113649748</v>
      </c>
      <c r="T50" s="35">
        <v>3</v>
      </c>
      <c r="U50" s="35" t="s">
        <v>540</v>
      </c>
      <c r="V50" s="35">
        <v>1</v>
      </c>
      <c r="W50" s="35">
        <f t="shared" si="11"/>
        <v>1</v>
      </c>
      <c r="X50" s="35" t="str">
        <f t="shared" si="5"/>
        <v>Low</v>
      </c>
      <c r="Y50" s="35" t="s">
        <v>538</v>
      </c>
      <c r="Z50" s="35">
        <f t="shared" si="6"/>
        <v>0.52064081004370277</v>
      </c>
      <c r="AA50" s="35">
        <f t="shared" si="2"/>
        <v>7.4898191878088171E-3</v>
      </c>
      <c r="AB50" s="35">
        <f t="shared" si="3"/>
        <v>2.3469178004722466E-2</v>
      </c>
      <c r="AC50" s="35">
        <f t="shared" si="4"/>
        <v>3.0958997192531285E-2</v>
      </c>
      <c r="AD50" s="35" t="s">
        <v>534</v>
      </c>
      <c r="AF50" s="35" t="s">
        <v>544</v>
      </c>
    </row>
    <row r="51" spans="1:32" s="35" customFormat="1" ht="15.75" x14ac:dyDescent="0.2">
      <c r="A51" s="35">
        <v>50</v>
      </c>
      <c r="B51" s="35">
        <v>9</v>
      </c>
      <c r="C51" s="35" t="s">
        <v>533</v>
      </c>
      <c r="D51" s="35" t="s">
        <v>131</v>
      </c>
      <c r="E51" s="35" t="s">
        <v>535</v>
      </c>
      <c r="F51" s="35" t="s">
        <v>64</v>
      </c>
      <c r="G51" s="35" t="s">
        <v>543</v>
      </c>
      <c r="H51" s="35" t="s">
        <v>517</v>
      </c>
      <c r="I51" s="35" t="s">
        <v>537</v>
      </c>
      <c r="J51" s="35">
        <v>9</v>
      </c>
      <c r="K51" s="35" t="s">
        <v>546</v>
      </c>
      <c r="L51" s="35">
        <v>3</v>
      </c>
      <c r="M51" s="35">
        <v>29940.179649999998</v>
      </c>
      <c r="N51" s="35">
        <v>5095.1087000000043</v>
      </c>
      <c r="O51" s="35">
        <f t="shared" si="7"/>
        <v>8824.9871384862199</v>
      </c>
      <c r="P51" s="35">
        <v>3</v>
      </c>
      <c r="Q51" s="35">
        <v>14088.730369999999</v>
      </c>
      <c r="R51" s="35">
        <v>2158.3446600000007</v>
      </c>
      <c r="S51" s="35">
        <f t="shared" si="0"/>
        <v>3738.3626113649748</v>
      </c>
      <c r="T51" s="35">
        <v>3</v>
      </c>
      <c r="U51" s="35" t="s">
        <v>541</v>
      </c>
      <c r="V51" s="35">
        <v>10</v>
      </c>
      <c r="W51" s="35">
        <f t="shared" si="11"/>
        <v>10</v>
      </c>
      <c r="X51" s="35" t="str">
        <f t="shared" si="5"/>
        <v>High</v>
      </c>
      <c r="Y51" s="35" t="s">
        <v>538</v>
      </c>
      <c r="Z51" s="35">
        <f t="shared" si="6"/>
        <v>0.7538261660445662</v>
      </c>
      <c r="AA51" s="35">
        <f t="shared" si="2"/>
        <v>2.8959969737611835E-2</v>
      </c>
      <c r="AB51" s="35">
        <f t="shared" si="3"/>
        <v>2.3469178004722466E-2</v>
      </c>
      <c r="AC51" s="35">
        <f t="shared" si="4"/>
        <v>5.2429147742334301E-2</v>
      </c>
      <c r="AD51" s="35" t="s">
        <v>534</v>
      </c>
      <c r="AF51" s="35" t="s">
        <v>544</v>
      </c>
    </row>
    <row r="52" spans="1:32" s="35" customFormat="1" ht="15.75" x14ac:dyDescent="0.2">
      <c r="A52" s="35">
        <v>51</v>
      </c>
      <c r="B52" s="35">
        <v>9</v>
      </c>
      <c r="C52" s="35" t="s">
        <v>533</v>
      </c>
      <c r="D52" s="35" t="s">
        <v>131</v>
      </c>
      <c r="E52" s="35" t="s">
        <v>535</v>
      </c>
      <c r="F52" s="35" t="s">
        <v>64</v>
      </c>
      <c r="G52" s="35" t="s">
        <v>543</v>
      </c>
      <c r="H52" s="35" t="s">
        <v>517</v>
      </c>
      <c r="I52" s="35" t="s">
        <v>537</v>
      </c>
      <c r="J52" s="35">
        <v>9</v>
      </c>
      <c r="K52" s="35" t="s">
        <v>546</v>
      </c>
      <c r="L52" s="35">
        <v>3</v>
      </c>
      <c r="M52" s="35">
        <v>27038.798309999998</v>
      </c>
      <c r="N52" s="35">
        <v>3679.8007200000029</v>
      </c>
      <c r="O52" s="35">
        <f t="shared" si="7"/>
        <v>6373.6018087685406</v>
      </c>
      <c r="P52" s="35">
        <v>3</v>
      </c>
      <c r="Q52" s="35">
        <v>14088.730369999999</v>
      </c>
      <c r="R52" s="35">
        <v>2158.3446600000007</v>
      </c>
      <c r="S52" s="35">
        <f t="shared" si="0"/>
        <v>3738.3626113649748</v>
      </c>
      <c r="T52" s="35">
        <v>3</v>
      </c>
      <c r="U52" s="35" t="s">
        <v>542</v>
      </c>
      <c r="V52" s="35">
        <v>20</v>
      </c>
      <c r="W52" s="35">
        <f t="shared" si="11"/>
        <v>20</v>
      </c>
      <c r="X52" s="35" t="str">
        <f t="shared" si="5"/>
        <v>High</v>
      </c>
      <c r="Y52" s="35" t="s">
        <v>538</v>
      </c>
      <c r="Z52" s="35">
        <f t="shared" si="6"/>
        <v>0.65189759572608375</v>
      </c>
      <c r="AA52" s="35">
        <f t="shared" si="2"/>
        <v>1.8521400699590167E-2</v>
      </c>
      <c r="AB52" s="35">
        <f t="shared" si="3"/>
        <v>2.3469178004722466E-2</v>
      </c>
      <c r="AC52" s="35">
        <f t="shared" si="4"/>
        <v>4.1990578704312637E-2</v>
      </c>
      <c r="AD52" s="35" t="s">
        <v>534</v>
      </c>
      <c r="AF52" s="35" t="s">
        <v>544</v>
      </c>
    </row>
    <row r="53" spans="1:32" s="35" customFormat="1" ht="15.75" x14ac:dyDescent="0.2">
      <c r="A53" s="35">
        <v>52</v>
      </c>
      <c r="B53" s="35">
        <v>9</v>
      </c>
      <c r="C53" s="35" t="s">
        <v>533</v>
      </c>
      <c r="D53" s="35" t="s">
        <v>131</v>
      </c>
      <c r="E53" s="35" t="s">
        <v>535</v>
      </c>
      <c r="F53" s="35" t="s">
        <v>64</v>
      </c>
      <c r="G53" s="35" t="s">
        <v>518</v>
      </c>
      <c r="H53" s="35" t="s">
        <v>517</v>
      </c>
      <c r="I53" s="35" t="s">
        <v>537</v>
      </c>
      <c r="J53" s="35">
        <v>9</v>
      </c>
      <c r="K53" s="35" t="s">
        <v>546</v>
      </c>
      <c r="L53" s="35">
        <v>3</v>
      </c>
      <c r="M53" s="35">
        <v>475.03656000000001</v>
      </c>
      <c r="N53" s="35">
        <v>17.956720000000018</v>
      </c>
      <c r="O53" s="35">
        <f t="shared" si="7"/>
        <v>31.101951377288241</v>
      </c>
      <c r="P53" s="35">
        <v>3</v>
      </c>
      <c r="Q53" s="35">
        <v>564.20096000000001</v>
      </c>
      <c r="R53" s="35">
        <v>79.876449999999977</v>
      </c>
      <c r="S53" s="35">
        <f t="shared" si="0"/>
        <v>138.35006972823501</v>
      </c>
      <c r="T53" s="35">
        <v>3</v>
      </c>
      <c r="U53" s="35" t="s">
        <v>539</v>
      </c>
      <c r="V53" s="35">
        <v>0.1</v>
      </c>
      <c r="W53" s="35">
        <f t="shared" si="11"/>
        <v>0.1</v>
      </c>
      <c r="X53" s="35" t="str">
        <f t="shared" si="5"/>
        <v>Low</v>
      </c>
      <c r="Y53" s="35" t="s">
        <v>538</v>
      </c>
      <c r="Z53" s="35">
        <f t="shared" si="6"/>
        <v>-0.17201873059695352</v>
      </c>
      <c r="AA53" s="35">
        <f t="shared" si="2"/>
        <v>1.428893796827221E-3</v>
      </c>
      <c r="AB53" s="35">
        <f t="shared" si="3"/>
        <v>2.0043329609531473E-2</v>
      </c>
      <c r="AC53" s="35">
        <f t="shared" si="4"/>
        <v>2.1472223406358695E-2</v>
      </c>
      <c r="AD53" s="35" t="s">
        <v>534</v>
      </c>
      <c r="AF53" s="35" t="s">
        <v>545</v>
      </c>
    </row>
    <row r="54" spans="1:32" s="35" customFormat="1" ht="15.75" x14ac:dyDescent="0.2">
      <c r="A54" s="35">
        <v>53</v>
      </c>
      <c r="B54" s="35">
        <v>9</v>
      </c>
      <c r="C54" s="35" t="s">
        <v>533</v>
      </c>
      <c r="D54" s="35" t="s">
        <v>131</v>
      </c>
      <c r="E54" s="35" t="s">
        <v>535</v>
      </c>
      <c r="F54" s="35" t="s">
        <v>64</v>
      </c>
      <c r="G54" s="35" t="s">
        <v>518</v>
      </c>
      <c r="H54" s="35" t="s">
        <v>517</v>
      </c>
      <c r="I54" s="35" t="s">
        <v>537</v>
      </c>
      <c r="J54" s="35">
        <v>9</v>
      </c>
      <c r="K54" s="35" t="s">
        <v>546</v>
      </c>
      <c r="L54" s="35">
        <v>3</v>
      </c>
      <c r="M54" s="35">
        <v>181.53707</v>
      </c>
      <c r="N54" s="35">
        <v>60.062129999999996</v>
      </c>
      <c r="O54" s="35">
        <f t="shared" si="7"/>
        <v>104.03066077080688</v>
      </c>
      <c r="P54" s="35">
        <v>3</v>
      </c>
      <c r="Q54" s="35">
        <v>564.20096000000001</v>
      </c>
      <c r="R54" s="35">
        <v>79.876449999999977</v>
      </c>
      <c r="S54" s="35">
        <f t="shared" si="0"/>
        <v>138.35006972823501</v>
      </c>
      <c r="T54" s="35">
        <v>3</v>
      </c>
      <c r="U54" s="35" t="s">
        <v>540</v>
      </c>
      <c r="V54" s="35">
        <v>1</v>
      </c>
      <c r="W54" s="35">
        <f t="shared" si="11"/>
        <v>1</v>
      </c>
      <c r="X54" s="35" t="str">
        <f t="shared" si="5"/>
        <v>Low</v>
      </c>
      <c r="Y54" s="35" t="s">
        <v>538</v>
      </c>
      <c r="Z54" s="35">
        <f t="shared" si="6"/>
        <v>-1.133950624816227</v>
      </c>
      <c r="AA54" s="35">
        <f t="shared" si="2"/>
        <v>0.10946387447542791</v>
      </c>
      <c r="AB54" s="35">
        <f t="shared" si="3"/>
        <v>2.0043329609531473E-2</v>
      </c>
      <c r="AC54" s="35">
        <f t="shared" si="4"/>
        <v>0.12950720408495939</v>
      </c>
      <c r="AD54" s="35" t="s">
        <v>534</v>
      </c>
      <c r="AF54" s="35" t="s">
        <v>545</v>
      </c>
    </row>
    <row r="55" spans="1:32" s="35" customFormat="1" ht="15.75" x14ac:dyDescent="0.2">
      <c r="A55" s="35">
        <v>54</v>
      </c>
      <c r="B55" s="35">
        <v>9</v>
      </c>
      <c r="C55" s="35" t="s">
        <v>533</v>
      </c>
      <c r="D55" s="35" t="s">
        <v>131</v>
      </c>
      <c r="E55" s="35" t="s">
        <v>535</v>
      </c>
      <c r="F55" s="35" t="s">
        <v>64</v>
      </c>
      <c r="G55" s="35" t="s">
        <v>518</v>
      </c>
      <c r="H55" s="35" t="s">
        <v>517</v>
      </c>
      <c r="I55" s="35" t="s">
        <v>537</v>
      </c>
      <c r="J55" s="35">
        <v>9</v>
      </c>
      <c r="K55" s="35" t="s">
        <v>546</v>
      </c>
      <c r="L55" s="35">
        <v>3</v>
      </c>
      <c r="M55" s="35">
        <v>110.94859</v>
      </c>
      <c r="N55" s="35">
        <v>70.588480000000004</v>
      </c>
      <c r="O55" s="35">
        <f t="shared" si="7"/>
        <v>122.26283378905954</v>
      </c>
      <c r="P55" s="35">
        <v>3</v>
      </c>
      <c r="Q55" s="35">
        <v>564.20096000000001</v>
      </c>
      <c r="R55" s="35">
        <v>79.876449999999977</v>
      </c>
      <c r="S55" s="35">
        <f t="shared" si="0"/>
        <v>138.35006972823501</v>
      </c>
      <c r="T55" s="35">
        <v>3</v>
      </c>
      <c r="U55" s="35" t="s">
        <v>541</v>
      </c>
      <c r="V55" s="35">
        <v>10</v>
      </c>
      <c r="W55" s="35">
        <f t="shared" si="11"/>
        <v>10</v>
      </c>
      <c r="X55" s="35" t="str">
        <f t="shared" si="5"/>
        <v>High</v>
      </c>
      <c r="Y55" s="35" t="s">
        <v>538</v>
      </c>
      <c r="Z55" s="35">
        <f t="shared" si="6"/>
        <v>-1.6263435592200999</v>
      </c>
      <c r="AA55" s="35">
        <f t="shared" si="2"/>
        <v>0.40478469724166671</v>
      </c>
      <c r="AB55" s="35">
        <f t="shared" si="3"/>
        <v>2.0043329609531473E-2</v>
      </c>
      <c r="AC55" s="35">
        <f t="shared" si="4"/>
        <v>0.42482802685119819</v>
      </c>
      <c r="AD55" s="35" t="s">
        <v>534</v>
      </c>
      <c r="AF55" s="35" t="s">
        <v>545</v>
      </c>
    </row>
    <row r="56" spans="1:32" s="35" customFormat="1" ht="15.75" x14ac:dyDescent="0.2">
      <c r="A56" s="35">
        <v>55</v>
      </c>
      <c r="B56" s="35">
        <v>9</v>
      </c>
      <c r="C56" s="35" t="s">
        <v>533</v>
      </c>
      <c r="D56" s="35" t="s">
        <v>131</v>
      </c>
      <c r="E56" s="35" t="s">
        <v>535</v>
      </c>
      <c r="F56" s="35" t="s">
        <v>64</v>
      </c>
      <c r="G56" s="35" t="s">
        <v>518</v>
      </c>
      <c r="H56" s="35" t="s">
        <v>517</v>
      </c>
      <c r="I56" s="35" t="s">
        <v>537</v>
      </c>
      <c r="J56" s="35">
        <v>9</v>
      </c>
      <c r="K56" s="35" t="s">
        <v>546</v>
      </c>
      <c r="L56" s="35">
        <v>3</v>
      </c>
      <c r="M56" s="35">
        <v>417.45121999999998</v>
      </c>
      <c r="N56" s="35">
        <v>26.625480000000039</v>
      </c>
      <c r="O56" s="35">
        <f t="shared" si="7"/>
        <v>46.116684135909054</v>
      </c>
      <c r="P56" s="35">
        <v>3</v>
      </c>
      <c r="Q56" s="35">
        <v>564.20096000000001</v>
      </c>
      <c r="R56" s="35">
        <v>79.876449999999977</v>
      </c>
      <c r="S56" s="35">
        <f t="shared" si="0"/>
        <v>138.35006972823501</v>
      </c>
      <c r="T56" s="35">
        <v>3</v>
      </c>
      <c r="U56" s="35" t="s">
        <v>542</v>
      </c>
      <c r="V56" s="35">
        <v>20</v>
      </c>
      <c r="W56" s="35">
        <f t="shared" si="11"/>
        <v>20</v>
      </c>
      <c r="X56" s="35" t="str">
        <f t="shared" si="5"/>
        <v>High</v>
      </c>
      <c r="Y56" s="35" t="s">
        <v>538</v>
      </c>
      <c r="Z56" s="35">
        <f t="shared" si="6"/>
        <v>-0.30124280094930223</v>
      </c>
      <c r="AA56" s="35">
        <f t="shared" si="2"/>
        <v>4.0680232144546897E-3</v>
      </c>
      <c r="AB56" s="35">
        <f t="shared" si="3"/>
        <v>2.0043329609531473E-2</v>
      </c>
      <c r="AC56" s="35">
        <f t="shared" si="4"/>
        <v>2.4111352823986163E-2</v>
      </c>
      <c r="AD56" s="35" t="s">
        <v>534</v>
      </c>
      <c r="AF56" s="35" t="s">
        <v>545</v>
      </c>
    </row>
    <row r="57" spans="1:32" s="35" customFormat="1" ht="15.75" x14ac:dyDescent="0.2">
      <c r="A57" s="35">
        <v>56</v>
      </c>
      <c r="B57" s="35">
        <v>9</v>
      </c>
      <c r="C57" s="35" t="s">
        <v>533</v>
      </c>
      <c r="D57" s="35" t="s">
        <v>131</v>
      </c>
      <c r="E57" s="35" t="s">
        <v>535</v>
      </c>
      <c r="F57" s="35" t="s">
        <v>64</v>
      </c>
      <c r="G57" s="35" t="s">
        <v>543</v>
      </c>
      <c r="H57" s="35" t="s">
        <v>517</v>
      </c>
      <c r="I57" s="35" t="s">
        <v>537</v>
      </c>
      <c r="J57" s="35">
        <v>9</v>
      </c>
      <c r="K57" s="35" t="s">
        <v>546</v>
      </c>
      <c r="L57" s="35">
        <v>3</v>
      </c>
      <c r="M57" s="35">
        <v>192.68261999999999</v>
      </c>
      <c r="N57" s="35">
        <v>62.538920000000019</v>
      </c>
      <c r="O57" s="35">
        <f t="shared" si="7"/>
        <v>108.32058689048544</v>
      </c>
      <c r="P57" s="35">
        <v>3</v>
      </c>
      <c r="Q57" s="35">
        <v>255.22154</v>
      </c>
      <c r="R57" s="35">
        <v>30.959859999999992</v>
      </c>
      <c r="S57" s="35">
        <f t="shared" si="0"/>
        <v>53.624050515219366</v>
      </c>
      <c r="T57" s="35">
        <v>3</v>
      </c>
      <c r="U57" s="35" t="s">
        <v>539</v>
      </c>
      <c r="V57" s="35">
        <v>0.1</v>
      </c>
      <c r="W57" s="35">
        <f t="shared" si="11"/>
        <v>0.1</v>
      </c>
      <c r="X57" s="35" t="str">
        <f t="shared" si="5"/>
        <v>Low</v>
      </c>
      <c r="Y57" s="35" t="s">
        <v>538</v>
      </c>
      <c r="Z57" s="35">
        <f t="shared" si="6"/>
        <v>-0.28108757295302578</v>
      </c>
      <c r="AA57" s="35">
        <f t="shared" si="2"/>
        <v>0.10534542221091414</v>
      </c>
      <c r="AB57" s="35">
        <f t="shared" si="3"/>
        <v>1.4715103685149103E-2</v>
      </c>
      <c r="AC57" s="35">
        <f t="shared" si="4"/>
        <v>0.12006052589606324</v>
      </c>
      <c r="AD57" s="35" t="s">
        <v>534</v>
      </c>
      <c r="AF57" s="35" t="s">
        <v>545</v>
      </c>
    </row>
    <row r="58" spans="1:32" s="35" customFormat="1" ht="15.75" x14ac:dyDescent="0.2">
      <c r="A58" s="35">
        <v>57</v>
      </c>
      <c r="B58" s="35">
        <v>9</v>
      </c>
      <c r="C58" s="35" t="s">
        <v>533</v>
      </c>
      <c r="D58" s="35" t="s">
        <v>131</v>
      </c>
      <c r="E58" s="35" t="s">
        <v>535</v>
      </c>
      <c r="F58" s="35" t="s">
        <v>64</v>
      </c>
      <c r="G58" s="35" t="s">
        <v>543</v>
      </c>
      <c r="H58" s="35" t="s">
        <v>517</v>
      </c>
      <c r="I58" s="35" t="s">
        <v>537</v>
      </c>
      <c r="J58" s="35">
        <v>9</v>
      </c>
      <c r="K58" s="35" t="s">
        <v>546</v>
      </c>
      <c r="L58" s="35">
        <v>3</v>
      </c>
      <c r="M58" s="35">
        <v>68.223979999999997</v>
      </c>
      <c r="N58" s="35">
        <v>20.433509999999998</v>
      </c>
      <c r="O58" s="35">
        <f t="shared" si="7"/>
        <v>35.391877496966728</v>
      </c>
      <c r="P58" s="35">
        <v>3</v>
      </c>
      <c r="Q58" s="35">
        <v>255.22154</v>
      </c>
      <c r="R58" s="35">
        <v>30.959859999999992</v>
      </c>
      <c r="S58" s="35">
        <f t="shared" si="0"/>
        <v>53.624050515219366</v>
      </c>
      <c r="T58" s="35">
        <v>3</v>
      </c>
      <c r="U58" s="35" t="s">
        <v>540</v>
      </c>
      <c r="V58" s="35">
        <v>1</v>
      </c>
      <c r="W58" s="35">
        <f t="shared" si="11"/>
        <v>1</v>
      </c>
      <c r="X58" s="35" t="str">
        <f t="shared" si="5"/>
        <v>Low</v>
      </c>
      <c r="Y58" s="35" t="s">
        <v>538</v>
      </c>
      <c r="Z58" s="35">
        <f t="shared" si="6"/>
        <v>-1.319335836346188</v>
      </c>
      <c r="AA58" s="35">
        <f t="shared" si="2"/>
        <v>8.9704007750499359E-2</v>
      </c>
      <c r="AB58" s="35">
        <f t="shared" si="3"/>
        <v>1.4715103685149103E-2</v>
      </c>
      <c r="AC58" s="35">
        <f t="shared" si="4"/>
        <v>0.10441911143564846</v>
      </c>
      <c r="AD58" s="35" t="s">
        <v>534</v>
      </c>
      <c r="AF58" s="35" t="s">
        <v>545</v>
      </c>
    </row>
    <row r="59" spans="1:32" s="35" customFormat="1" ht="15.75" x14ac:dyDescent="0.2">
      <c r="A59" s="35">
        <v>58</v>
      </c>
      <c r="B59" s="35">
        <v>9</v>
      </c>
      <c r="C59" s="35" t="s">
        <v>533</v>
      </c>
      <c r="D59" s="35" t="s">
        <v>131</v>
      </c>
      <c r="E59" s="35" t="s">
        <v>535</v>
      </c>
      <c r="F59" s="35" t="s">
        <v>64</v>
      </c>
      <c r="G59" s="35" t="s">
        <v>543</v>
      </c>
      <c r="H59" s="35" t="s">
        <v>517</v>
      </c>
      <c r="I59" s="35" t="s">
        <v>537</v>
      </c>
      <c r="J59" s="35">
        <v>9</v>
      </c>
      <c r="K59" s="35" t="s">
        <v>546</v>
      </c>
      <c r="L59" s="35">
        <v>3</v>
      </c>
      <c r="M59" s="35">
        <v>86.180700000000002</v>
      </c>
      <c r="N59" s="35">
        <v>17.956720000000004</v>
      </c>
      <c r="O59" s="35">
        <f t="shared" si="7"/>
        <v>31.101951377288216</v>
      </c>
      <c r="P59" s="35">
        <v>3</v>
      </c>
      <c r="Q59" s="35">
        <v>255.22154</v>
      </c>
      <c r="R59" s="35">
        <v>30.959859999999992</v>
      </c>
      <c r="S59" s="35">
        <f t="shared" si="0"/>
        <v>53.624050515219366</v>
      </c>
      <c r="T59" s="35">
        <v>3</v>
      </c>
      <c r="U59" s="35" t="s">
        <v>541</v>
      </c>
      <c r="V59" s="35">
        <v>10</v>
      </c>
      <c r="W59" s="35">
        <f t="shared" si="11"/>
        <v>10</v>
      </c>
      <c r="X59" s="35" t="str">
        <f t="shared" si="5"/>
        <v>High</v>
      </c>
      <c r="Y59" s="35" t="s">
        <v>538</v>
      </c>
      <c r="Z59" s="35">
        <f t="shared" si="6"/>
        <v>-1.0856856976085647</v>
      </c>
      <c r="AA59" s="35">
        <f t="shared" si="2"/>
        <v>4.3414418345267845E-2</v>
      </c>
      <c r="AB59" s="35">
        <f t="shared" si="3"/>
        <v>1.4715103685149103E-2</v>
      </c>
      <c r="AC59" s="35">
        <f t="shared" si="4"/>
        <v>5.812952203041695E-2</v>
      </c>
      <c r="AD59" s="35" t="s">
        <v>534</v>
      </c>
      <c r="AF59" s="35" t="s">
        <v>545</v>
      </c>
    </row>
    <row r="60" spans="1:32" s="35" customFormat="1" ht="15.75" x14ac:dyDescent="0.2">
      <c r="A60" s="35">
        <v>59</v>
      </c>
      <c r="B60" s="35">
        <v>9</v>
      </c>
      <c r="C60" s="35" t="s">
        <v>533</v>
      </c>
      <c r="D60" s="35" t="s">
        <v>131</v>
      </c>
      <c r="E60" s="35" t="s">
        <v>535</v>
      </c>
      <c r="F60" s="35" t="s">
        <v>64</v>
      </c>
      <c r="G60" s="35" t="s">
        <v>543</v>
      </c>
      <c r="H60" s="35" t="s">
        <v>517</v>
      </c>
      <c r="I60" s="35" t="s">
        <v>537</v>
      </c>
      <c r="J60" s="35">
        <v>9</v>
      </c>
      <c r="K60" s="35" t="s">
        <v>546</v>
      </c>
      <c r="L60" s="35">
        <v>3</v>
      </c>
      <c r="M60" s="35">
        <v>90.515079999999998</v>
      </c>
      <c r="N60" s="35">
        <v>35.913440000000008</v>
      </c>
      <c r="O60" s="35">
        <f t="shared" si="7"/>
        <v>62.203902754576433</v>
      </c>
      <c r="P60" s="35">
        <v>3</v>
      </c>
      <c r="Q60" s="35">
        <v>255.22154</v>
      </c>
      <c r="R60" s="35">
        <v>30.959859999999992</v>
      </c>
      <c r="S60" s="35">
        <f t="shared" si="0"/>
        <v>53.624050515219366</v>
      </c>
      <c r="T60" s="35">
        <v>3</v>
      </c>
      <c r="U60" s="35" t="s">
        <v>542</v>
      </c>
      <c r="V60" s="35">
        <v>20</v>
      </c>
      <c r="W60" s="35">
        <f t="shared" si="11"/>
        <v>20</v>
      </c>
      <c r="X60" s="35" t="str">
        <f t="shared" si="5"/>
        <v>High</v>
      </c>
      <c r="Y60" s="35" t="s">
        <v>538</v>
      </c>
      <c r="Z60" s="35">
        <f t="shared" si="6"/>
        <v>-1.0366154856385739</v>
      </c>
      <c r="AA60" s="35">
        <f t="shared" si="2"/>
        <v>0.1574244314882963</v>
      </c>
      <c r="AB60" s="35">
        <f t="shared" si="3"/>
        <v>1.4715103685149103E-2</v>
      </c>
      <c r="AC60" s="35">
        <f t="shared" si="4"/>
        <v>0.17213953517344541</v>
      </c>
      <c r="AD60" s="35" t="s">
        <v>534</v>
      </c>
      <c r="AF60" s="35" t="s">
        <v>545</v>
      </c>
    </row>
    <row r="61" spans="1:32" s="38" customFormat="1" ht="15.75" x14ac:dyDescent="0.2">
      <c r="A61" s="38">
        <v>60</v>
      </c>
      <c r="B61" s="38">
        <v>10</v>
      </c>
      <c r="C61" s="38" t="s">
        <v>583</v>
      </c>
      <c r="D61" s="38" t="s">
        <v>584</v>
      </c>
      <c r="E61" s="38" t="s">
        <v>587</v>
      </c>
      <c r="F61" s="38" t="s">
        <v>586</v>
      </c>
      <c r="G61" s="38" t="s">
        <v>528</v>
      </c>
      <c r="H61" s="38" t="s">
        <v>527</v>
      </c>
      <c r="I61" s="38" t="s">
        <v>537</v>
      </c>
      <c r="J61" s="38">
        <v>10</v>
      </c>
      <c r="K61" s="38" t="s">
        <v>589</v>
      </c>
      <c r="L61" s="38">
        <v>3</v>
      </c>
      <c r="M61" s="38">
        <v>13.39213</v>
      </c>
      <c r="N61" s="38">
        <v>1.8647200000000002</v>
      </c>
      <c r="O61" s="38">
        <f t="shared" si="7"/>
        <v>3.2297897818898371</v>
      </c>
      <c r="P61" s="38">
        <v>3</v>
      </c>
      <c r="Q61" s="38">
        <v>9.9475899999999999</v>
      </c>
      <c r="R61" s="38">
        <v>0.44027999999999956</v>
      </c>
      <c r="S61" s="38">
        <f t="shared" si="0"/>
        <v>0.7625873295564245</v>
      </c>
      <c r="T61" s="38">
        <v>3</v>
      </c>
      <c r="U61" s="38" t="s">
        <v>590</v>
      </c>
      <c r="V61" s="38">
        <v>0.25</v>
      </c>
      <c r="W61" s="38">
        <f>(V61/1000) / 0.5 * 1000</f>
        <v>0.5</v>
      </c>
      <c r="X61" s="38" t="str">
        <f t="shared" si="5"/>
        <v>Low</v>
      </c>
      <c r="Y61" s="38" t="s">
        <v>588</v>
      </c>
      <c r="Z61" s="38">
        <f t="shared" si="6"/>
        <v>0.2973369102105472</v>
      </c>
      <c r="AA61" s="38">
        <f t="shared" si="2"/>
        <v>1.9387773832072606E-2</v>
      </c>
      <c r="AB61" s="38">
        <f t="shared" si="3"/>
        <v>1.9589446331952898E-3</v>
      </c>
      <c r="AC61" s="38">
        <f t="shared" si="4"/>
        <v>2.1346718465267894E-2</v>
      </c>
      <c r="AD61" s="38" t="s">
        <v>585</v>
      </c>
      <c r="AF61" s="38" t="s">
        <v>544</v>
      </c>
    </row>
    <row r="62" spans="1:32" s="38" customFormat="1" ht="15.75" x14ac:dyDescent="0.2">
      <c r="A62" s="38">
        <v>61</v>
      </c>
      <c r="B62" s="38">
        <v>10</v>
      </c>
      <c r="C62" s="38" t="s">
        <v>583</v>
      </c>
      <c r="D62" s="38" t="s">
        <v>584</v>
      </c>
      <c r="E62" s="38" t="s">
        <v>587</v>
      </c>
      <c r="F62" s="38" t="s">
        <v>586</v>
      </c>
      <c r="G62" s="38" t="s">
        <v>528</v>
      </c>
      <c r="H62" s="38" t="s">
        <v>527</v>
      </c>
      <c r="I62" s="38" t="s">
        <v>537</v>
      </c>
      <c r="J62" s="38">
        <v>10</v>
      </c>
      <c r="K62" s="38" t="s">
        <v>589</v>
      </c>
      <c r="L62" s="38">
        <v>3</v>
      </c>
      <c r="M62" s="38">
        <v>13.806509999999999</v>
      </c>
      <c r="N62" s="38">
        <v>0.88057000000000052</v>
      </c>
      <c r="O62" s="38">
        <f t="shared" si="7"/>
        <v>1.525191979620927</v>
      </c>
      <c r="P62" s="38">
        <v>3</v>
      </c>
      <c r="Q62" s="38">
        <v>6.6584300000000001</v>
      </c>
      <c r="R62" s="38">
        <v>0.8546699999999996</v>
      </c>
      <c r="S62" s="38">
        <f t="shared" si="0"/>
        <v>1.4803318637048917</v>
      </c>
      <c r="T62" s="38">
        <v>3</v>
      </c>
      <c r="U62" s="38" t="s">
        <v>590</v>
      </c>
      <c r="V62" s="38">
        <v>0.25</v>
      </c>
      <c r="W62" s="38">
        <f>(V62/1000) / 0.5 * 1000</f>
        <v>0.5</v>
      </c>
      <c r="X62" s="38" t="str">
        <f t="shared" si="5"/>
        <v>Low</v>
      </c>
      <c r="Y62" s="38" t="s">
        <v>588</v>
      </c>
      <c r="Z62" s="38">
        <f t="shared" si="6"/>
        <v>0.72925649903314504</v>
      </c>
      <c r="AA62" s="38">
        <f t="shared" si="2"/>
        <v>4.0678033284774293E-3</v>
      </c>
      <c r="AB62" s="38">
        <f t="shared" si="3"/>
        <v>1.6476055383057901E-2</v>
      </c>
      <c r="AC62" s="38">
        <f t="shared" si="4"/>
        <v>2.0543858711535329E-2</v>
      </c>
      <c r="AD62" s="38" t="s">
        <v>585</v>
      </c>
      <c r="AF62" s="38" t="s">
        <v>544</v>
      </c>
    </row>
    <row r="63" spans="1:32" s="38" customFormat="1" ht="15.75" x14ac:dyDescent="0.2">
      <c r="A63" s="38">
        <v>62</v>
      </c>
      <c r="B63" s="38">
        <v>10</v>
      </c>
      <c r="C63" s="38" t="s">
        <v>583</v>
      </c>
      <c r="D63" s="38" t="s">
        <v>584</v>
      </c>
      <c r="E63" s="38" t="s">
        <v>587</v>
      </c>
      <c r="F63" s="38" t="s">
        <v>586</v>
      </c>
      <c r="G63" s="38" t="s">
        <v>528</v>
      </c>
      <c r="H63" s="38" t="s">
        <v>527</v>
      </c>
      <c r="I63" s="38" t="s">
        <v>537</v>
      </c>
      <c r="J63" s="38">
        <v>10</v>
      </c>
      <c r="K63" s="38" t="s">
        <v>589</v>
      </c>
      <c r="L63" s="38">
        <v>3</v>
      </c>
      <c r="M63" s="38">
        <v>11.44586</v>
      </c>
      <c r="N63" s="38">
        <v>0.57278999999999947</v>
      </c>
      <c r="O63" s="38">
        <f t="shared" si="7"/>
        <v>0.99210138206737619</v>
      </c>
      <c r="P63" s="38">
        <v>3</v>
      </c>
      <c r="Q63" s="38">
        <v>6.2498300000000002</v>
      </c>
      <c r="R63" s="38">
        <v>0.55234000000000005</v>
      </c>
      <c r="S63" s="38">
        <f t="shared" si="0"/>
        <v>0.95668094305259377</v>
      </c>
      <c r="T63" s="38">
        <v>3</v>
      </c>
      <c r="U63" s="38" t="s">
        <v>590</v>
      </c>
      <c r="V63" s="38">
        <v>0.25</v>
      </c>
      <c r="W63" s="38">
        <f>(V63/1000) / 0.5 * 1000</f>
        <v>0.5</v>
      </c>
      <c r="X63" s="38" t="str">
        <f t="shared" si="5"/>
        <v>Low</v>
      </c>
      <c r="Y63" s="38" t="s">
        <v>588</v>
      </c>
      <c r="Z63" s="38">
        <f t="shared" si="6"/>
        <v>0.60507382918652797</v>
      </c>
      <c r="AA63" s="38">
        <f t="shared" si="2"/>
        <v>2.5043440668190359E-3</v>
      </c>
      <c r="AB63" s="38">
        <f t="shared" si="3"/>
        <v>7.810459458576057E-3</v>
      </c>
      <c r="AC63" s="38">
        <f t="shared" si="4"/>
        <v>1.0314803525395093E-2</v>
      </c>
      <c r="AD63" s="38" t="s">
        <v>585</v>
      </c>
      <c r="AF63" s="38" t="s">
        <v>544</v>
      </c>
    </row>
    <row r="64" spans="1:32" s="39" customFormat="1" ht="15.75" x14ac:dyDescent="0.2">
      <c r="A64" s="39">
        <v>63</v>
      </c>
      <c r="B64" s="39">
        <v>11</v>
      </c>
      <c r="C64" s="39" t="s">
        <v>596</v>
      </c>
      <c r="D64" s="39" t="s">
        <v>608</v>
      </c>
      <c r="E64" s="39" t="s">
        <v>609</v>
      </c>
      <c r="F64" s="39" t="s">
        <v>598</v>
      </c>
      <c r="G64" s="39" t="s">
        <v>604</v>
      </c>
      <c r="H64" s="39" t="s">
        <v>602</v>
      </c>
      <c r="I64" s="39" t="s">
        <v>603</v>
      </c>
      <c r="J64" s="39">
        <v>11</v>
      </c>
      <c r="K64" s="39" t="s">
        <v>607</v>
      </c>
      <c r="L64" s="39">
        <v>10</v>
      </c>
      <c r="M64" s="39">
        <v>4.2450999999999999</v>
      </c>
      <c r="N64" s="39">
        <v>2.82694</v>
      </c>
      <c r="O64" s="39">
        <f t="shared" si="7"/>
        <v>8.9395692086363994</v>
      </c>
      <c r="P64" s="39">
        <v>10</v>
      </c>
      <c r="Q64" s="39">
        <v>48.658000000000001</v>
      </c>
      <c r="R64" s="39">
        <v>12.512699999999995</v>
      </c>
      <c r="S64" s="39">
        <f t="shared" si="0"/>
        <v>39.568631678388869</v>
      </c>
      <c r="T64" s="39">
        <v>10</v>
      </c>
      <c r="U64" s="39" t="s">
        <v>599</v>
      </c>
      <c r="V64" s="39">
        <v>5.0000000000000001E-3</v>
      </c>
      <c r="W64" s="39">
        <f t="shared" ref="W64:W69" si="12">V64 * 10^-3</f>
        <v>5.0000000000000004E-6</v>
      </c>
      <c r="X64" s="39" t="str">
        <f t="shared" si="5"/>
        <v>Low</v>
      </c>
      <c r="Y64" s="39" t="s">
        <v>610</v>
      </c>
      <c r="Z64" s="39">
        <f t="shared" si="6"/>
        <v>-2.439050858378053</v>
      </c>
      <c r="AA64" s="39">
        <f t="shared" si="2"/>
        <v>0.44346293965350253</v>
      </c>
      <c r="AB64" s="39">
        <f t="shared" si="3"/>
        <v>6.6129243766433893E-2</v>
      </c>
      <c r="AC64" s="39">
        <f t="shared" si="4"/>
        <v>0.5095921834199364</v>
      </c>
      <c r="AD64" s="39" t="s">
        <v>597</v>
      </c>
      <c r="AF64" s="39" t="s">
        <v>606</v>
      </c>
    </row>
    <row r="65" spans="1:32" s="39" customFormat="1" ht="15.75" x14ac:dyDescent="0.2">
      <c r="A65" s="39">
        <v>64</v>
      </c>
      <c r="B65" s="39">
        <v>11</v>
      </c>
      <c r="C65" s="39" t="s">
        <v>596</v>
      </c>
      <c r="D65" s="39" t="s">
        <v>608</v>
      </c>
      <c r="E65" s="39" t="s">
        <v>609</v>
      </c>
      <c r="F65" s="39" t="s">
        <v>598</v>
      </c>
      <c r="G65" s="39" t="s">
        <v>604</v>
      </c>
      <c r="H65" s="39" t="s">
        <v>602</v>
      </c>
      <c r="I65" s="39" t="s">
        <v>603</v>
      </c>
      <c r="J65" s="39">
        <v>11</v>
      </c>
      <c r="K65" s="39" t="s">
        <v>607</v>
      </c>
      <c r="L65" s="39">
        <v>10</v>
      </c>
      <c r="M65" s="39">
        <v>6.3240999999999996</v>
      </c>
      <c r="N65" s="39">
        <v>1.8073900000000003</v>
      </c>
      <c r="O65" s="39">
        <f t="shared" si="7"/>
        <v>5.715469020211728</v>
      </c>
      <c r="P65" s="39">
        <v>10</v>
      </c>
      <c r="Q65" s="39">
        <v>41.196730000000002</v>
      </c>
      <c r="R65" s="39">
        <v>6.9514899999999997</v>
      </c>
      <c r="S65" s="39">
        <f t="shared" si="0"/>
        <v>21.982541531883889</v>
      </c>
      <c r="T65" s="39">
        <v>10</v>
      </c>
      <c r="U65" s="39" t="s">
        <v>600</v>
      </c>
      <c r="V65" s="39">
        <v>0.05</v>
      </c>
      <c r="W65" s="39">
        <f t="shared" si="12"/>
        <v>5.0000000000000002E-5</v>
      </c>
      <c r="X65" s="39" t="str">
        <f t="shared" si="5"/>
        <v>Low</v>
      </c>
      <c r="Y65" s="39" t="s">
        <v>610</v>
      </c>
      <c r="Z65" s="39">
        <f t="shared" si="6"/>
        <v>-1.8739911522746331</v>
      </c>
      <c r="AA65" s="39">
        <f t="shared" si="2"/>
        <v>8.1678225312961039E-2</v>
      </c>
      <c r="AB65" s="39">
        <f t="shared" si="3"/>
        <v>2.847280896943297E-2</v>
      </c>
      <c r="AC65" s="39">
        <f t="shared" si="4"/>
        <v>0.11015103428239401</v>
      </c>
      <c r="AD65" s="39" t="s">
        <v>597</v>
      </c>
      <c r="AF65" s="39" t="s">
        <v>606</v>
      </c>
    </row>
    <row r="66" spans="1:32" s="39" customFormat="1" ht="15.75" x14ac:dyDescent="0.2">
      <c r="A66" s="39">
        <v>65</v>
      </c>
      <c r="B66" s="39">
        <v>11</v>
      </c>
      <c r="C66" s="39" t="s">
        <v>596</v>
      </c>
      <c r="D66" s="39" t="s">
        <v>608</v>
      </c>
      <c r="E66" s="39" t="s">
        <v>609</v>
      </c>
      <c r="F66" s="39" t="s">
        <v>598</v>
      </c>
      <c r="G66" s="39" t="s">
        <v>604</v>
      </c>
      <c r="H66" s="39" t="s">
        <v>602</v>
      </c>
      <c r="I66" s="39" t="s">
        <v>603</v>
      </c>
      <c r="J66" s="39">
        <v>11</v>
      </c>
      <c r="K66" s="39" t="s">
        <v>607</v>
      </c>
      <c r="L66" s="39">
        <v>10</v>
      </c>
      <c r="M66" s="39">
        <v>11.243</v>
      </c>
      <c r="N66" s="39">
        <v>2.8269400000000005</v>
      </c>
      <c r="O66" s="39">
        <f t="shared" si="7"/>
        <v>8.9395692086363994</v>
      </c>
      <c r="P66" s="39">
        <v>10</v>
      </c>
      <c r="Q66" s="39">
        <v>37.62829</v>
      </c>
      <c r="R66" s="39">
        <v>6.395380000000003</v>
      </c>
      <c r="S66" s="39">
        <f t="shared" si="0"/>
        <v>20.223967302287662</v>
      </c>
      <c r="T66" s="39">
        <v>10</v>
      </c>
      <c r="U66" s="39" t="s">
        <v>601</v>
      </c>
      <c r="V66" s="39">
        <v>0.5</v>
      </c>
      <c r="W66" s="39">
        <f t="shared" si="12"/>
        <v>5.0000000000000001E-4</v>
      </c>
      <c r="X66" s="39" t="str">
        <f t="shared" si="5"/>
        <v>Low</v>
      </c>
      <c r="Y66" s="39" t="s">
        <v>610</v>
      </c>
      <c r="Z66" s="39">
        <f t="shared" si="6"/>
        <v>-1.2080104483390657</v>
      </c>
      <c r="AA66" s="39">
        <f t="shared" si="2"/>
        <v>6.3222077178262101E-2</v>
      </c>
      <c r="AB66" s="39">
        <f t="shared" si="3"/>
        <v>2.8887086638578564E-2</v>
      </c>
      <c r="AC66" s="39">
        <f t="shared" si="4"/>
        <v>9.2109163816840672E-2</v>
      </c>
      <c r="AD66" s="39" t="s">
        <v>597</v>
      </c>
      <c r="AF66" s="39" t="s">
        <v>606</v>
      </c>
    </row>
    <row r="67" spans="1:32" s="39" customFormat="1" ht="15.75" x14ac:dyDescent="0.2">
      <c r="A67" s="39">
        <v>66</v>
      </c>
      <c r="B67" s="39">
        <v>11</v>
      </c>
      <c r="C67" s="39" t="s">
        <v>596</v>
      </c>
      <c r="D67" s="39" t="s">
        <v>608</v>
      </c>
      <c r="E67" s="39" t="s">
        <v>609</v>
      </c>
      <c r="F67" s="39" t="s">
        <v>598</v>
      </c>
      <c r="G67" s="39" t="s">
        <v>605</v>
      </c>
      <c r="H67" s="39" t="s">
        <v>602</v>
      </c>
      <c r="I67" s="39" t="s">
        <v>603</v>
      </c>
      <c r="J67" s="39">
        <v>11</v>
      </c>
      <c r="K67" s="39" t="s">
        <v>607</v>
      </c>
      <c r="L67" s="39">
        <v>10</v>
      </c>
      <c r="M67" s="39">
        <v>3.5619999999999998</v>
      </c>
      <c r="N67" s="39">
        <v>0</v>
      </c>
      <c r="O67" s="39">
        <f xml:space="preserve"> N67*SQRT(L67)</f>
        <v>0</v>
      </c>
      <c r="P67" s="39">
        <v>10</v>
      </c>
      <c r="Q67" s="39">
        <v>41.518920000000001</v>
      </c>
      <c r="R67" s="39">
        <v>7.1252799999999965</v>
      </c>
      <c r="S67" s="39">
        <f xml:space="preserve"> R67*SQRT(P67)</f>
        <v>22.532113766444539</v>
      </c>
      <c r="T67" s="39">
        <v>10</v>
      </c>
      <c r="U67" s="39" t="s">
        <v>599</v>
      </c>
      <c r="V67" s="39">
        <v>5.0000000000000001E-3</v>
      </c>
      <c r="W67" s="39">
        <f t="shared" si="12"/>
        <v>5.0000000000000004E-6</v>
      </c>
      <c r="X67" s="39" t="str">
        <f>IF(W67&lt;=1, "Low", IF(W67&lt;10, "Medium", "High"))</f>
        <v>Low</v>
      </c>
      <c r="Y67" s="39" t="s">
        <v>610</v>
      </c>
      <c r="Z67" s="39">
        <f>LN(M67/Q67)</f>
        <v>-2.4558270420911632</v>
      </c>
      <c r="AA67" s="39">
        <f>(O67^2)/(L67*M67^2)</f>
        <v>0</v>
      </c>
      <c r="AB67" s="39">
        <f>(S67^2)/(P67*Q67^2)</f>
        <v>2.9451795392210576E-2</v>
      </c>
      <c r="AC67" s="39">
        <f>SUM(AA67,AB67)</f>
        <v>2.9451795392210576E-2</v>
      </c>
      <c r="AD67" s="39" t="s">
        <v>597</v>
      </c>
      <c r="AF67" s="39" t="s">
        <v>606</v>
      </c>
    </row>
    <row r="68" spans="1:32" s="39" customFormat="1" ht="15.75" x14ac:dyDescent="0.2">
      <c r="A68" s="39">
        <v>67</v>
      </c>
      <c r="B68" s="39">
        <v>11</v>
      </c>
      <c r="C68" s="39" t="s">
        <v>596</v>
      </c>
      <c r="D68" s="39" t="s">
        <v>608</v>
      </c>
      <c r="E68" s="39" t="s">
        <v>609</v>
      </c>
      <c r="F68" s="39" t="s">
        <v>598</v>
      </c>
      <c r="G68" s="39" t="s">
        <v>605</v>
      </c>
      <c r="H68" s="39" t="s">
        <v>602</v>
      </c>
      <c r="I68" s="39" t="s">
        <v>603</v>
      </c>
      <c r="J68" s="39">
        <v>11</v>
      </c>
      <c r="K68" s="39" t="s">
        <v>607</v>
      </c>
      <c r="L68" s="39">
        <v>10</v>
      </c>
      <c r="M68" s="39">
        <v>4.2140000000000004</v>
      </c>
      <c r="N68" s="39">
        <v>0</v>
      </c>
      <c r="O68" s="39">
        <f xml:space="preserve"> N68*SQRT(L68)</f>
        <v>0</v>
      </c>
      <c r="P68" s="39">
        <v>10</v>
      </c>
      <c r="Q68" s="39">
        <v>44.23</v>
      </c>
      <c r="R68" s="39">
        <v>5.3526600000000002</v>
      </c>
      <c r="S68" s="39">
        <f xml:space="preserve"> R68*SQRT(P68)</f>
        <v>16.926597140476879</v>
      </c>
      <c r="T68" s="39">
        <v>10</v>
      </c>
      <c r="U68" s="39" t="s">
        <v>600</v>
      </c>
      <c r="V68" s="39">
        <v>0.05</v>
      </c>
      <c r="W68" s="39">
        <f t="shared" si="12"/>
        <v>5.0000000000000002E-5</v>
      </c>
      <c r="X68" s="39" t="str">
        <f>IF(W68&lt;=1, "Low", IF(W68&lt;10, "Medium", "High"))</f>
        <v>Low</v>
      </c>
      <c r="Y68" s="39" t="s">
        <v>610</v>
      </c>
      <c r="Z68" s="39">
        <f>LN(M68/Q68)</f>
        <v>-2.3509909764982382</v>
      </c>
      <c r="AA68" s="39">
        <f>(O68^2)/(L68*M68^2)</f>
        <v>0</v>
      </c>
      <c r="AB68" s="39">
        <f>(S68^2)/(P68*Q68^2)</f>
        <v>1.4645541613732795E-2</v>
      </c>
      <c r="AC68" s="39">
        <f>SUM(AA68,AB68)</f>
        <v>1.4645541613732795E-2</v>
      </c>
      <c r="AD68" s="39" t="s">
        <v>597</v>
      </c>
      <c r="AF68" s="39" t="s">
        <v>606</v>
      </c>
    </row>
    <row r="69" spans="1:32" s="39" customFormat="1" ht="15.75" x14ac:dyDescent="0.2">
      <c r="A69" s="39">
        <v>68</v>
      </c>
      <c r="B69" s="39">
        <v>11</v>
      </c>
      <c r="C69" s="39" t="s">
        <v>596</v>
      </c>
      <c r="D69" s="39" t="s">
        <v>608</v>
      </c>
      <c r="E69" s="39" t="s">
        <v>609</v>
      </c>
      <c r="F69" s="39" t="s">
        <v>598</v>
      </c>
      <c r="G69" s="39" t="s">
        <v>605</v>
      </c>
      <c r="H69" s="39" t="s">
        <v>602</v>
      </c>
      <c r="I69" s="39" t="s">
        <v>603</v>
      </c>
      <c r="J69" s="39">
        <v>11</v>
      </c>
      <c r="K69" s="39" t="s">
        <v>607</v>
      </c>
      <c r="L69" s="39">
        <v>10</v>
      </c>
      <c r="M69" s="39">
        <v>3.2414999999999998</v>
      </c>
      <c r="N69" s="39">
        <v>0.97321000000000002</v>
      </c>
      <c r="O69" s="39">
        <f xml:space="preserve"> N69*SQRT(L69)</f>
        <v>3.0775602416524688</v>
      </c>
      <c r="P69" s="39">
        <v>10</v>
      </c>
      <c r="Q69" s="39">
        <v>29.040980000000001</v>
      </c>
      <c r="R69" s="39">
        <v>5.3874099999999991</v>
      </c>
      <c r="S69" s="39">
        <f xml:space="preserve"> R69*SQRT(P69)</f>
        <v>17.036486289167726</v>
      </c>
      <c r="T69" s="39">
        <v>10</v>
      </c>
      <c r="U69" s="39" t="s">
        <v>601</v>
      </c>
      <c r="V69" s="39">
        <v>0.5</v>
      </c>
      <c r="W69" s="39">
        <f t="shared" si="12"/>
        <v>5.0000000000000001E-4</v>
      </c>
      <c r="X69" s="39" t="str">
        <f>IF(W69&lt;=1, "Low", IF(W69&lt;10, "Medium", "High"))</f>
        <v>Low</v>
      </c>
      <c r="Y69" s="39" t="s">
        <v>610</v>
      </c>
      <c r="Z69" s="39">
        <f>LN(M69/Q69)</f>
        <v>-2.1926717503107538</v>
      </c>
      <c r="AA69" s="39">
        <f>(O69^2)/(L69*M69^2)</f>
        <v>9.0140730584331336E-2</v>
      </c>
      <c r="AB69" s="39">
        <f>(S69^2)/(P69*Q69^2)</f>
        <v>3.4414187511096803E-2</v>
      </c>
      <c r="AC69" s="39">
        <f>SUM(AA69,AB69)</f>
        <v>0.12455491809542814</v>
      </c>
      <c r="AD69" s="39" t="s">
        <v>597</v>
      </c>
      <c r="AF69" s="39" t="s">
        <v>606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8"/>
  <sheetViews>
    <sheetView zoomScale="85" zoomScaleNormal="85" workbookViewId="0">
      <pane ySplit="1" topLeftCell="A2" activePane="bottomLeft" state="frozen"/>
      <selection pane="bottomLeft" activeCell="A10" sqref="A10:XFD11"/>
    </sheetView>
  </sheetViews>
  <sheetFormatPr defaultRowHeight="14.25" x14ac:dyDescent="0.2"/>
  <cols>
    <col min="21" max="24" width="12.875" customWidth="1"/>
    <col min="30" max="30" width="12" customWidth="1"/>
  </cols>
  <sheetData>
    <row r="1" spans="1:32" s="2" customFormat="1" ht="1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58</v>
      </c>
      <c r="F1" s="1" t="s">
        <v>660</v>
      </c>
      <c r="G1" s="1" t="s">
        <v>68</v>
      </c>
      <c r="H1" s="1" t="s">
        <v>92</v>
      </c>
      <c r="I1" s="1" t="s">
        <v>40</v>
      </c>
      <c r="J1" s="1" t="s">
        <v>41</v>
      </c>
      <c r="K1" s="1" t="s">
        <v>126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/>
      <c r="W1" s="1" t="s">
        <v>711</v>
      </c>
      <c r="X1" s="1" t="s">
        <v>722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59</v>
      </c>
      <c r="AF1" s="1" t="s">
        <v>61</v>
      </c>
    </row>
    <row r="2" spans="1:32" s="4" customFormat="1" ht="14.25" customHeight="1" x14ac:dyDescent="0.2">
      <c r="A2" s="4">
        <v>1</v>
      </c>
      <c r="B2" s="4">
        <v>1</v>
      </c>
      <c r="C2" s="4" t="s">
        <v>2</v>
      </c>
      <c r="D2" s="4" t="s">
        <v>79</v>
      </c>
      <c r="E2" s="4" t="s">
        <v>80</v>
      </c>
      <c r="F2" s="4" t="s">
        <v>64</v>
      </c>
      <c r="H2" s="4" t="s">
        <v>94</v>
      </c>
      <c r="I2" s="4" t="s">
        <v>222</v>
      </c>
      <c r="J2" s="4">
        <v>1</v>
      </c>
      <c r="K2" s="4" t="s">
        <v>776</v>
      </c>
      <c r="L2" s="4">
        <v>5</v>
      </c>
      <c r="M2" s="4">
        <v>92</v>
      </c>
      <c r="N2" s="4">
        <v>5</v>
      </c>
      <c r="O2" s="4">
        <f xml:space="preserve"> N2*SQRT(L2)</f>
        <v>11.180339887498949</v>
      </c>
      <c r="P2" s="4">
        <v>5</v>
      </c>
      <c r="Q2" s="4">
        <v>84</v>
      </c>
      <c r="R2" s="4">
        <v>7</v>
      </c>
      <c r="S2" s="4">
        <f xml:space="preserve"> R2*SQRT(P2)</f>
        <v>15.652475842498529</v>
      </c>
      <c r="T2" s="4">
        <v>5</v>
      </c>
      <c r="U2" s="4" t="s">
        <v>82</v>
      </c>
      <c r="V2" s="4">
        <v>93.5</v>
      </c>
      <c r="W2" s="4">
        <f>V2 / 1000</f>
        <v>9.35E-2</v>
      </c>
      <c r="X2" s="4" t="str">
        <f t="shared" ref="X2:X66" si="0">IF(W2&lt;=1, "Low", IF(W2&lt;10, "Medium", "High"))</f>
        <v>Low</v>
      </c>
      <c r="Y2" s="4" t="s">
        <v>90</v>
      </c>
      <c r="Z2" s="4">
        <f>LN(M2/Q2)</f>
        <v>9.0971778205726786E-2</v>
      </c>
      <c r="AA2" s="4">
        <f>(O2^2)/(L2*M2^2)</f>
        <v>2.9536862003780723E-3</v>
      </c>
      <c r="AB2" s="4">
        <f>(S2^2)/(P2*Q2^2)</f>
        <v>6.9444444444444449E-3</v>
      </c>
      <c r="AC2" s="4">
        <f>SUM(AA2,AB2)</f>
        <v>9.8981306448225163E-3</v>
      </c>
      <c r="AD2" s="4" t="s">
        <v>97</v>
      </c>
      <c r="AE2" s="4" t="s">
        <v>89</v>
      </c>
      <c r="AF2" s="4" t="s">
        <v>88</v>
      </c>
    </row>
    <row r="3" spans="1:32" s="4" customFormat="1" ht="15.75" x14ac:dyDescent="0.2">
      <c r="A3" s="4">
        <v>2</v>
      </c>
      <c r="B3" s="4">
        <v>1</v>
      </c>
      <c r="C3" s="4" t="s">
        <v>2</v>
      </c>
      <c r="D3" s="4" t="s">
        <v>79</v>
      </c>
      <c r="E3" s="4" t="s">
        <v>80</v>
      </c>
      <c r="F3" s="4" t="s">
        <v>64</v>
      </c>
      <c r="H3" s="4" t="s">
        <v>94</v>
      </c>
      <c r="I3" s="4" t="s">
        <v>222</v>
      </c>
      <c r="J3" s="4">
        <v>1</v>
      </c>
      <c r="K3" s="4" t="s">
        <v>776</v>
      </c>
      <c r="L3" s="4">
        <v>5</v>
      </c>
      <c r="M3" s="4">
        <v>84</v>
      </c>
      <c r="N3" s="4">
        <v>7</v>
      </c>
      <c r="O3" s="4">
        <f t="shared" ref="O3:O22" si="1" xml:space="preserve"> N3*SQRT(L3)</f>
        <v>15.652475842498529</v>
      </c>
      <c r="P3" s="4">
        <v>5</v>
      </c>
      <c r="Q3" s="4">
        <v>84</v>
      </c>
      <c r="R3" s="4">
        <v>7</v>
      </c>
      <c r="S3" s="4">
        <f t="shared" ref="S3:S22" si="2" xml:space="preserve"> R3*SQRT(P3)</f>
        <v>15.652475842498529</v>
      </c>
      <c r="T3" s="4">
        <v>5</v>
      </c>
      <c r="U3" s="4" t="s">
        <v>83</v>
      </c>
      <c r="V3" s="4">
        <v>187.5</v>
      </c>
      <c r="W3" s="4">
        <f t="shared" ref="W3:W9" si="3">V3 / 1000</f>
        <v>0.1875</v>
      </c>
      <c r="X3" s="4" t="str">
        <f t="shared" si="0"/>
        <v>Low</v>
      </c>
      <c r="Y3" s="4" t="s">
        <v>90</v>
      </c>
      <c r="Z3" s="4">
        <f t="shared" ref="Z3:Z66" si="4">LN(M3/Q3)</f>
        <v>0</v>
      </c>
      <c r="AA3" s="4">
        <f t="shared" ref="AA3:AA66" si="5">(O3^2)/(L3*M3^2)</f>
        <v>6.9444444444444449E-3</v>
      </c>
      <c r="AB3" s="4">
        <f t="shared" ref="AB3:AB66" si="6">(S3^2)/(P3*Q3^2)</f>
        <v>6.9444444444444449E-3</v>
      </c>
      <c r="AC3" s="4">
        <f t="shared" ref="AC3:AC66" si="7">SUM(AA3,AB3)</f>
        <v>1.388888888888889E-2</v>
      </c>
      <c r="AD3" s="4" t="s">
        <v>97</v>
      </c>
      <c r="AF3" s="4" t="s">
        <v>88</v>
      </c>
    </row>
    <row r="4" spans="1:32" s="4" customFormat="1" ht="15.75" x14ac:dyDescent="0.2">
      <c r="A4" s="4">
        <v>3</v>
      </c>
      <c r="B4" s="4">
        <v>1</v>
      </c>
      <c r="C4" s="4" t="s">
        <v>2</v>
      </c>
      <c r="D4" s="4" t="s">
        <v>79</v>
      </c>
      <c r="E4" s="4" t="s">
        <v>80</v>
      </c>
      <c r="F4" s="4" t="s">
        <v>64</v>
      </c>
      <c r="H4" s="4" t="s">
        <v>94</v>
      </c>
      <c r="I4" s="4" t="s">
        <v>222</v>
      </c>
      <c r="J4" s="4">
        <v>1</v>
      </c>
      <c r="K4" s="4" t="s">
        <v>776</v>
      </c>
      <c r="L4" s="4">
        <v>5</v>
      </c>
      <c r="M4" s="4">
        <v>100</v>
      </c>
      <c r="N4" s="4">
        <v>0</v>
      </c>
      <c r="O4" s="4">
        <f t="shared" si="1"/>
        <v>0</v>
      </c>
      <c r="P4" s="4">
        <v>5</v>
      </c>
      <c r="Q4" s="4">
        <v>84</v>
      </c>
      <c r="R4" s="4">
        <v>7</v>
      </c>
      <c r="S4" s="4">
        <f t="shared" si="2"/>
        <v>15.652475842498529</v>
      </c>
      <c r="T4" s="4">
        <v>5</v>
      </c>
      <c r="U4" s="4" t="s">
        <v>84</v>
      </c>
      <c r="V4" s="4">
        <v>375</v>
      </c>
      <c r="W4" s="4">
        <f t="shared" si="3"/>
        <v>0.375</v>
      </c>
      <c r="X4" s="4" t="str">
        <f t="shared" si="0"/>
        <v>Low</v>
      </c>
      <c r="Y4" s="4" t="s">
        <v>90</v>
      </c>
      <c r="Z4" s="4">
        <f t="shared" si="4"/>
        <v>0.17435338714477774</v>
      </c>
      <c r="AA4" s="4">
        <f t="shared" si="5"/>
        <v>0</v>
      </c>
      <c r="AB4" s="4">
        <f t="shared" si="6"/>
        <v>6.9444444444444449E-3</v>
      </c>
      <c r="AC4" s="4">
        <f t="shared" si="7"/>
        <v>6.9444444444444449E-3</v>
      </c>
      <c r="AD4" s="4" t="s">
        <v>97</v>
      </c>
      <c r="AF4" s="4" t="s">
        <v>88</v>
      </c>
    </row>
    <row r="5" spans="1:32" s="4" customFormat="1" ht="15.75" x14ac:dyDescent="0.2">
      <c r="A5" s="4">
        <v>4</v>
      </c>
      <c r="B5" s="4">
        <v>1</v>
      </c>
      <c r="C5" s="4" t="s">
        <v>2</v>
      </c>
      <c r="D5" s="4" t="s">
        <v>79</v>
      </c>
      <c r="E5" s="4" t="s">
        <v>80</v>
      </c>
      <c r="F5" s="4" t="s">
        <v>64</v>
      </c>
      <c r="H5" s="4" t="s">
        <v>94</v>
      </c>
      <c r="I5" s="4" t="s">
        <v>222</v>
      </c>
      <c r="J5" s="4">
        <v>1</v>
      </c>
      <c r="K5" s="4" t="s">
        <v>776</v>
      </c>
      <c r="L5" s="4">
        <v>5</v>
      </c>
      <c r="M5" s="4">
        <v>92</v>
      </c>
      <c r="N5" s="4">
        <v>5</v>
      </c>
      <c r="O5" s="4">
        <f t="shared" si="1"/>
        <v>11.180339887498949</v>
      </c>
      <c r="P5" s="4">
        <v>5</v>
      </c>
      <c r="Q5" s="4">
        <v>84</v>
      </c>
      <c r="R5" s="4">
        <v>7</v>
      </c>
      <c r="S5" s="4">
        <f t="shared" si="2"/>
        <v>15.652475842498529</v>
      </c>
      <c r="T5" s="4">
        <v>5</v>
      </c>
      <c r="U5" s="4" t="s">
        <v>85</v>
      </c>
      <c r="V5" s="4">
        <v>750</v>
      </c>
      <c r="W5" s="4">
        <f t="shared" si="3"/>
        <v>0.75</v>
      </c>
      <c r="X5" s="4" t="str">
        <f t="shared" si="0"/>
        <v>Low</v>
      </c>
      <c r="Y5" s="4" t="s">
        <v>90</v>
      </c>
      <c r="Z5" s="4">
        <f t="shared" si="4"/>
        <v>9.0971778205726786E-2</v>
      </c>
      <c r="AA5" s="4">
        <f t="shared" si="5"/>
        <v>2.9536862003780723E-3</v>
      </c>
      <c r="AB5" s="4">
        <f t="shared" si="6"/>
        <v>6.9444444444444449E-3</v>
      </c>
      <c r="AC5" s="4">
        <f t="shared" si="7"/>
        <v>9.8981306448225163E-3</v>
      </c>
      <c r="AD5" s="4" t="s">
        <v>97</v>
      </c>
      <c r="AF5" s="4" t="s">
        <v>88</v>
      </c>
    </row>
    <row r="6" spans="1:32" s="4" customFormat="1" ht="15.75" x14ac:dyDescent="0.2">
      <c r="A6" s="4">
        <v>5</v>
      </c>
      <c r="B6" s="4">
        <v>1</v>
      </c>
      <c r="C6" s="4" t="s">
        <v>2</v>
      </c>
      <c r="D6" s="4" t="s">
        <v>79</v>
      </c>
      <c r="E6" s="4" t="s">
        <v>80</v>
      </c>
      <c r="F6" s="4" t="s">
        <v>64</v>
      </c>
      <c r="H6" s="4" t="s">
        <v>94</v>
      </c>
      <c r="I6" s="4" t="s">
        <v>222</v>
      </c>
      <c r="J6" s="4">
        <v>1</v>
      </c>
      <c r="K6" s="4" t="s">
        <v>776</v>
      </c>
      <c r="L6" s="4">
        <v>5</v>
      </c>
      <c r="M6" s="4">
        <v>3</v>
      </c>
      <c r="N6" s="4">
        <v>1</v>
      </c>
      <c r="O6" s="4">
        <f t="shared" si="1"/>
        <v>2.2360679774997898</v>
      </c>
      <c r="P6" s="4">
        <v>5</v>
      </c>
      <c r="Q6" s="4">
        <v>2.2999999999999998</v>
      </c>
      <c r="R6" s="4">
        <v>0.96</v>
      </c>
      <c r="S6" s="4">
        <f t="shared" si="2"/>
        <v>2.1466252583997982</v>
      </c>
      <c r="T6" s="4">
        <v>5</v>
      </c>
      <c r="U6" s="4" t="s">
        <v>82</v>
      </c>
      <c r="V6" s="4">
        <v>93.5</v>
      </c>
      <c r="W6" s="4">
        <f t="shared" si="3"/>
        <v>9.35E-2</v>
      </c>
      <c r="X6" s="4" t="str">
        <f t="shared" si="0"/>
        <v>Low</v>
      </c>
      <c r="Y6" s="4" t="s">
        <v>90</v>
      </c>
      <c r="Z6" s="4">
        <f t="shared" si="4"/>
        <v>0.26570316573300568</v>
      </c>
      <c r="AA6" s="4">
        <f t="shared" si="5"/>
        <v>0.11111111111111113</v>
      </c>
      <c r="AB6" s="4">
        <f t="shared" si="6"/>
        <v>0.17421550094517962</v>
      </c>
      <c r="AC6" s="4">
        <f t="shared" si="7"/>
        <v>0.28532661205629073</v>
      </c>
      <c r="AD6" s="4" t="s">
        <v>97</v>
      </c>
      <c r="AF6" s="4" t="s">
        <v>87</v>
      </c>
    </row>
    <row r="7" spans="1:32" s="4" customFormat="1" ht="15.75" x14ac:dyDescent="0.2">
      <c r="A7" s="4">
        <v>6</v>
      </c>
      <c r="B7" s="4">
        <v>1</v>
      </c>
      <c r="C7" s="4" t="s">
        <v>2</v>
      </c>
      <c r="D7" s="4" t="s">
        <v>79</v>
      </c>
      <c r="E7" s="4" t="s">
        <v>80</v>
      </c>
      <c r="F7" s="4" t="s">
        <v>64</v>
      </c>
      <c r="H7" s="4" t="s">
        <v>94</v>
      </c>
      <c r="I7" s="4" t="s">
        <v>222</v>
      </c>
      <c r="J7" s="4">
        <v>1</v>
      </c>
      <c r="K7" s="4" t="s">
        <v>776</v>
      </c>
      <c r="L7" s="4">
        <v>5</v>
      </c>
      <c r="M7" s="4">
        <v>2.2999999999999998</v>
      </c>
      <c r="N7" s="4">
        <v>0.9</v>
      </c>
      <c r="O7" s="4">
        <f t="shared" si="1"/>
        <v>2.0124611797498111</v>
      </c>
      <c r="P7" s="4">
        <v>5</v>
      </c>
      <c r="Q7" s="4">
        <v>2.2999999999999998</v>
      </c>
      <c r="R7" s="4">
        <v>0.96</v>
      </c>
      <c r="S7" s="4">
        <f t="shared" si="2"/>
        <v>2.1466252583997982</v>
      </c>
      <c r="T7" s="4">
        <v>5</v>
      </c>
      <c r="U7" s="4" t="s">
        <v>83</v>
      </c>
      <c r="V7" s="4">
        <v>187.5</v>
      </c>
      <c r="W7" s="4">
        <f t="shared" si="3"/>
        <v>0.1875</v>
      </c>
      <c r="X7" s="4" t="str">
        <f t="shared" si="0"/>
        <v>Low</v>
      </c>
      <c r="Y7" s="4" t="s">
        <v>90</v>
      </c>
      <c r="Z7" s="4">
        <f t="shared" si="4"/>
        <v>0</v>
      </c>
      <c r="AA7" s="4">
        <f t="shared" si="5"/>
        <v>0.15311909262759932</v>
      </c>
      <c r="AB7" s="4">
        <f t="shared" si="6"/>
        <v>0.17421550094517962</v>
      </c>
      <c r="AC7" s="4">
        <f t="shared" si="7"/>
        <v>0.32733459357277894</v>
      </c>
      <c r="AD7" s="4" t="s">
        <v>97</v>
      </c>
      <c r="AF7" s="4" t="s">
        <v>87</v>
      </c>
    </row>
    <row r="8" spans="1:32" s="4" customFormat="1" ht="15.75" x14ac:dyDescent="0.2">
      <c r="A8" s="4">
        <v>7</v>
      </c>
      <c r="B8" s="4">
        <v>1</v>
      </c>
      <c r="C8" s="4" t="s">
        <v>2</v>
      </c>
      <c r="D8" s="4" t="s">
        <v>79</v>
      </c>
      <c r="E8" s="4" t="s">
        <v>80</v>
      </c>
      <c r="F8" s="4" t="s">
        <v>64</v>
      </c>
      <c r="H8" s="4" t="s">
        <v>94</v>
      </c>
      <c r="I8" s="4" t="s">
        <v>222</v>
      </c>
      <c r="J8" s="4">
        <v>1</v>
      </c>
      <c r="K8" s="4" t="s">
        <v>776</v>
      </c>
      <c r="L8" s="4">
        <v>5</v>
      </c>
      <c r="M8" s="4">
        <v>2.8</v>
      </c>
      <c r="N8" s="4">
        <v>0.9</v>
      </c>
      <c r="O8" s="4">
        <f t="shared" si="1"/>
        <v>2.0124611797498111</v>
      </c>
      <c r="P8" s="4">
        <v>5</v>
      </c>
      <c r="Q8" s="4">
        <v>2.2999999999999998</v>
      </c>
      <c r="R8" s="4">
        <v>0.96</v>
      </c>
      <c r="S8" s="4">
        <f t="shared" si="2"/>
        <v>2.1466252583997982</v>
      </c>
      <c r="T8" s="4">
        <v>5</v>
      </c>
      <c r="U8" s="4" t="s">
        <v>84</v>
      </c>
      <c r="V8" s="4">
        <v>375</v>
      </c>
      <c r="W8" s="4">
        <f t="shared" si="3"/>
        <v>0.375</v>
      </c>
      <c r="X8" s="4" t="str">
        <f t="shared" si="0"/>
        <v>Low</v>
      </c>
      <c r="Y8" s="4" t="s">
        <v>90</v>
      </c>
      <c r="Z8" s="4">
        <f t="shared" si="4"/>
        <v>0.1967102942460543</v>
      </c>
      <c r="AA8" s="4">
        <f t="shared" si="5"/>
        <v>0.10331632653061229</v>
      </c>
      <c r="AB8" s="4">
        <f t="shared" si="6"/>
        <v>0.17421550094517962</v>
      </c>
      <c r="AC8" s="4">
        <f t="shared" si="7"/>
        <v>0.27753182747579191</v>
      </c>
      <c r="AD8" s="4" t="s">
        <v>97</v>
      </c>
      <c r="AF8" s="4" t="s">
        <v>87</v>
      </c>
    </row>
    <row r="9" spans="1:32" s="4" customFormat="1" ht="15.75" x14ac:dyDescent="0.2">
      <c r="A9" s="4">
        <v>8</v>
      </c>
      <c r="B9" s="4">
        <v>1</v>
      </c>
      <c r="C9" s="4" t="s">
        <v>2</v>
      </c>
      <c r="D9" s="4" t="s">
        <v>79</v>
      </c>
      <c r="E9" s="4" t="s">
        <v>80</v>
      </c>
      <c r="F9" s="4" t="s">
        <v>64</v>
      </c>
      <c r="H9" s="4" t="s">
        <v>94</v>
      </c>
      <c r="I9" s="4" t="s">
        <v>222</v>
      </c>
      <c r="J9" s="4">
        <v>1</v>
      </c>
      <c r="K9" s="4" t="s">
        <v>776</v>
      </c>
      <c r="L9" s="4">
        <v>5</v>
      </c>
      <c r="M9" s="4">
        <v>2.6</v>
      </c>
      <c r="N9" s="4">
        <v>0.6</v>
      </c>
      <c r="O9" s="4">
        <f t="shared" si="1"/>
        <v>1.3416407864998738</v>
      </c>
      <c r="P9" s="4">
        <v>5</v>
      </c>
      <c r="Q9" s="4">
        <v>2.2999999999999998</v>
      </c>
      <c r="R9" s="4">
        <v>0.96</v>
      </c>
      <c r="S9" s="4">
        <f t="shared" si="2"/>
        <v>2.1466252583997982</v>
      </c>
      <c r="T9" s="4">
        <v>5</v>
      </c>
      <c r="U9" s="4" t="s">
        <v>85</v>
      </c>
      <c r="V9" s="4">
        <v>750</v>
      </c>
      <c r="W9" s="4">
        <f t="shared" si="3"/>
        <v>0.75</v>
      </c>
      <c r="X9" s="4" t="str">
        <f t="shared" si="0"/>
        <v>Low</v>
      </c>
      <c r="Y9" s="4" t="s">
        <v>90</v>
      </c>
      <c r="Z9" s="4">
        <f t="shared" si="4"/>
        <v>0.12260232209233247</v>
      </c>
      <c r="AA9" s="4">
        <f t="shared" si="5"/>
        <v>5.325443786982248E-2</v>
      </c>
      <c r="AB9" s="4">
        <f t="shared" si="6"/>
        <v>0.17421550094517962</v>
      </c>
      <c r="AC9" s="4">
        <f t="shared" si="7"/>
        <v>0.2274699388150021</v>
      </c>
      <c r="AD9" s="4" t="s">
        <v>97</v>
      </c>
      <c r="AF9" s="4" t="s">
        <v>87</v>
      </c>
    </row>
    <row r="10" spans="1:32" s="6" customFormat="1" ht="15.75" x14ac:dyDescent="0.2">
      <c r="A10" s="6">
        <v>9</v>
      </c>
      <c r="B10" s="6">
        <v>2</v>
      </c>
      <c r="C10" s="6" t="s">
        <v>4</v>
      </c>
      <c r="D10" s="6" t="s">
        <v>98</v>
      </c>
      <c r="E10" s="6" t="s">
        <v>115</v>
      </c>
      <c r="F10" s="6" t="s">
        <v>64</v>
      </c>
      <c r="G10" s="6" t="s">
        <v>223</v>
      </c>
      <c r="H10" s="6" t="s">
        <v>224</v>
      </c>
      <c r="I10" s="6" t="s">
        <v>222</v>
      </c>
      <c r="J10" s="6">
        <v>2</v>
      </c>
      <c r="K10" s="6" t="s">
        <v>776</v>
      </c>
      <c r="L10" s="6">
        <v>5</v>
      </c>
      <c r="M10" s="6">
        <v>0.51324999999999998</v>
      </c>
      <c r="N10" s="6">
        <v>4.0849999999999942E-2</v>
      </c>
      <c r="O10" s="6">
        <f t="shared" si="1"/>
        <v>9.1343376880866287E-2</v>
      </c>
      <c r="P10" s="6">
        <v>5</v>
      </c>
      <c r="Q10" s="6">
        <v>0.54479999999999995</v>
      </c>
      <c r="R10" s="6">
        <v>0.11933000000000005</v>
      </c>
      <c r="S10" s="6">
        <f t="shared" si="2"/>
        <v>0.26682999175505001</v>
      </c>
      <c r="T10" s="6">
        <v>5</v>
      </c>
      <c r="U10" s="6" t="s">
        <v>116</v>
      </c>
      <c r="V10" s="6">
        <v>50</v>
      </c>
      <c r="W10" s="6">
        <f>V10 * 0.000001</f>
        <v>4.9999999999999996E-5</v>
      </c>
      <c r="X10" s="6" t="str">
        <f t="shared" si="0"/>
        <v>Low</v>
      </c>
      <c r="Y10" s="6" t="s">
        <v>113</v>
      </c>
      <c r="Z10" s="6">
        <f t="shared" si="4"/>
        <v>-5.9655698936259591E-2</v>
      </c>
      <c r="AA10" s="6">
        <f t="shared" si="5"/>
        <v>6.3347022368035969E-3</v>
      </c>
      <c r="AB10" s="6">
        <f t="shared" si="6"/>
        <v>4.7976115728252312E-2</v>
      </c>
      <c r="AC10" s="6">
        <f t="shared" si="7"/>
        <v>5.4310817965055908E-2</v>
      </c>
      <c r="AD10" s="6" t="s">
        <v>114</v>
      </c>
      <c r="AF10" s="6" t="s">
        <v>119</v>
      </c>
    </row>
    <row r="11" spans="1:32" s="6" customFormat="1" ht="15.75" x14ac:dyDescent="0.2">
      <c r="A11" s="6">
        <v>10</v>
      </c>
      <c r="B11" s="6">
        <v>2</v>
      </c>
      <c r="C11" s="6" t="s">
        <v>4</v>
      </c>
      <c r="D11" s="6" t="s">
        <v>98</v>
      </c>
      <c r="E11" s="6" t="s">
        <v>115</v>
      </c>
      <c r="F11" s="6" t="s">
        <v>64</v>
      </c>
      <c r="G11" s="6" t="s">
        <v>223</v>
      </c>
      <c r="H11" s="6" t="s">
        <v>225</v>
      </c>
      <c r="I11" s="6" t="s">
        <v>222</v>
      </c>
      <c r="J11" s="6">
        <v>2</v>
      </c>
      <c r="K11" s="6" t="s">
        <v>777</v>
      </c>
      <c r="L11" s="6">
        <v>5</v>
      </c>
      <c r="M11" s="6">
        <v>50.0214</v>
      </c>
      <c r="N11" s="6">
        <v>3.7619999999999987E-2</v>
      </c>
      <c r="O11" s="6">
        <f t="shared" si="1"/>
        <v>8.4120877313542064E-2</v>
      </c>
      <c r="P11" s="6">
        <v>5</v>
      </c>
      <c r="Q11" s="6">
        <v>53.246000000000002</v>
      </c>
      <c r="R11" s="6">
        <v>0.10516999999999993</v>
      </c>
      <c r="S11" s="6">
        <f t="shared" si="2"/>
        <v>0.23516726919365274</v>
      </c>
      <c r="T11" s="6">
        <v>5</v>
      </c>
      <c r="U11" s="6" t="s">
        <v>116</v>
      </c>
      <c r="V11" s="6">
        <v>50</v>
      </c>
      <c r="W11" s="6">
        <f>V11 * 0.000001</f>
        <v>4.9999999999999996E-5</v>
      </c>
      <c r="X11" s="6" t="str">
        <f t="shared" si="0"/>
        <v>Low</v>
      </c>
      <c r="Y11" s="6" t="s">
        <v>113</v>
      </c>
      <c r="Z11" s="6">
        <f t="shared" si="4"/>
        <v>-6.2471770534919549E-2</v>
      </c>
      <c r="AA11" s="6">
        <f t="shared" si="5"/>
        <v>5.6562148439655027E-7</v>
      </c>
      <c r="AB11" s="6">
        <f t="shared" si="6"/>
        <v>3.9013038129131084E-6</v>
      </c>
      <c r="AC11" s="6">
        <f t="shared" si="7"/>
        <v>4.4669252973096584E-6</v>
      </c>
      <c r="AD11" s="6" t="s">
        <v>114</v>
      </c>
      <c r="AF11" s="6" t="s">
        <v>120</v>
      </c>
    </row>
    <row r="12" spans="1:32" s="12" customFormat="1" ht="15.75" x14ac:dyDescent="0.2">
      <c r="A12" s="12">
        <v>11</v>
      </c>
      <c r="B12" s="12">
        <v>3</v>
      </c>
      <c r="C12" s="12" t="s">
        <v>208</v>
      </c>
      <c r="D12" s="12" t="s">
        <v>219</v>
      </c>
      <c r="E12" s="12" t="s">
        <v>209</v>
      </c>
      <c r="F12" s="12" t="s">
        <v>210</v>
      </c>
      <c r="G12" s="12" t="s">
        <v>217</v>
      </c>
      <c r="H12" s="12" t="s">
        <v>216</v>
      </c>
      <c r="I12" s="12" t="s">
        <v>222</v>
      </c>
      <c r="J12" s="12">
        <v>3</v>
      </c>
      <c r="K12" s="12" t="s">
        <v>221</v>
      </c>
      <c r="L12" s="12">
        <v>19</v>
      </c>
      <c r="M12" s="12">
        <v>11.765940000000001</v>
      </c>
      <c r="N12" s="12">
        <v>9.7160000000000579E-2</v>
      </c>
      <c r="O12" s="12">
        <f t="shared" si="1"/>
        <v>0.42351062135441442</v>
      </c>
      <c r="P12" s="12">
        <v>20</v>
      </c>
      <c r="Q12" s="12">
        <v>11.98268</v>
      </c>
      <c r="R12" s="12">
        <v>0.91177000000000064</v>
      </c>
      <c r="S12" s="12">
        <f t="shared" si="2"/>
        <v>4.0775593996899699</v>
      </c>
      <c r="T12" s="12">
        <v>20</v>
      </c>
      <c r="U12" s="12" t="s">
        <v>214</v>
      </c>
      <c r="V12" s="12">
        <v>200</v>
      </c>
      <c r="W12" s="12">
        <f>V12*10^-6</f>
        <v>1.9999999999999998E-4</v>
      </c>
      <c r="X12" s="12" t="str">
        <f t="shared" si="0"/>
        <v>Low</v>
      </c>
      <c r="Y12" s="12" t="s">
        <v>211</v>
      </c>
      <c r="Z12" s="12">
        <f t="shared" si="4"/>
        <v>-1.8253356855568819E-2</v>
      </c>
      <c r="AA12" s="12">
        <f t="shared" si="5"/>
        <v>6.8190166912617269E-5</v>
      </c>
      <c r="AB12" s="12">
        <f t="shared" si="6"/>
        <v>5.7897881611686658E-3</v>
      </c>
      <c r="AC12" s="12">
        <f t="shared" si="7"/>
        <v>5.8579783280812833E-3</v>
      </c>
      <c r="AD12" s="12" t="s">
        <v>212</v>
      </c>
      <c r="AF12" s="12" t="s">
        <v>226</v>
      </c>
    </row>
    <row r="13" spans="1:32" s="12" customFormat="1" ht="15.75" x14ac:dyDescent="0.2">
      <c r="A13" s="12">
        <v>12</v>
      </c>
      <c r="B13" s="12">
        <v>3</v>
      </c>
      <c r="C13" s="12" t="s">
        <v>208</v>
      </c>
      <c r="D13" s="12" t="s">
        <v>219</v>
      </c>
      <c r="E13" s="12" t="s">
        <v>209</v>
      </c>
      <c r="F13" s="12" t="s">
        <v>210</v>
      </c>
      <c r="G13" s="12" t="s">
        <v>217</v>
      </c>
      <c r="H13" s="12" t="s">
        <v>216</v>
      </c>
      <c r="I13" s="12" t="s">
        <v>222</v>
      </c>
      <c r="J13" s="12">
        <v>3</v>
      </c>
      <c r="K13" s="12" t="s">
        <v>221</v>
      </c>
      <c r="L13" s="12">
        <v>19</v>
      </c>
      <c r="M13" s="12">
        <v>11.943519999999999</v>
      </c>
      <c r="N13" s="12">
        <v>2.9899999999999594E-2</v>
      </c>
      <c r="O13" s="12">
        <f t="shared" si="1"/>
        <v>0.13033107841186439</v>
      </c>
      <c r="P13" s="12">
        <v>20</v>
      </c>
      <c r="Q13" s="12">
        <v>11.98268</v>
      </c>
      <c r="R13" s="12">
        <v>0.91177000000000064</v>
      </c>
      <c r="S13" s="12">
        <f t="shared" si="2"/>
        <v>4.0775593996899699</v>
      </c>
      <c r="T13" s="12">
        <v>20</v>
      </c>
      <c r="U13" s="12" t="s">
        <v>213</v>
      </c>
      <c r="V13" s="12">
        <v>20000</v>
      </c>
      <c r="W13" s="12">
        <f t="shared" ref="W13:W19" si="8">V13*10^-6</f>
        <v>0.02</v>
      </c>
      <c r="X13" s="12" t="str">
        <f t="shared" si="0"/>
        <v>Low</v>
      </c>
      <c r="Y13" s="12" t="s">
        <v>211</v>
      </c>
      <c r="Z13" s="12">
        <f t="shared" si="4"/>
        <v>-3.2734019582828957E-3</v>
      </c>
      <c r="AA13" s="12">
        <f t="shared" si="5"/>
        <v>6.2672597460592368E-6</v>
      </c>
      <c r="AB13" s="12">
        <f t="shared" si="6"/>
        <v>5.7897881611686658E-3</v>
      </c>
      <c r="AC13" s="12">
        <f t="shared" si="7"/>
        <v>5.7960554209147254E-3</v>
      </c>
      <c r="AD13" s="12" t="s">
        <v>212</v>
      </c>
      <c r="AF13" s="12" t="s">
        <v>226</v>
      </c>
    </row>
    <row r="14" spans="1:32" s="12" customFormat="1" ht="15.75" x14ac:dyDescent="0.2">
      <c r="A14" s="12">
        <v>13</v>
      </c>
      <c r="B14" s="12">
        <v>3</v>
      </c>
      <c r="C14" s="12" t="s">
        <v>208</v>
      </c>
      <c r="D14" s="12" t="s">
        <v>220</v>
      </c>
      <c r="E14" s="12" t="s">
        <v>209</v>
      </c>
      <c r="F14" s="12" t="s">
        <v>210</v>
      </c>
      <c r="G14" s="12" t="s">
        <v>218</v>
      </c>
      <c r="H14" s="12" t="s">
        <v>216</v>
      </c>
      <c r="I14" s="12" t="s">
        <v>222</v>
      </c>
      <c r="J14" s="12">
        <v>3</v>
      </c>
      <c r="K14" s="12" t="s">
        <v>221</v>
      </c>
      <c r="L14" s="12">
        <v>18</v>
      </c>
      <c r="M14" s="12">
        <v>11.130699999999999</v>
      </c>
      <c r="N14" s="12">
        <v>2.9889999999999972E-2</v>
      </c>
      <c r="O14" s="12">
        <f t="shared" si="1"/>
        <v>0.12681253013799532</v>
      </c>
      <c r="P14" s="12">
        <v>15</v>
      </c>
      <c r="Q14" s="12">
        <v>11.571630000000001</v>
      </c>
      <c r="R14" s="12">
        <v>2.990000000000137E-2</v>
      </c>
      <c r="S14" s="12">
        <f t="shared" si="2"/>
        <v>0.11580220205160707</v>
      </c>
      <c r="T14" s="12">
        <v>20</v>
      </c>
      <c r="U14" s="12" t="s">
        <v>214</v>
      </c>
      <c r="V14" s="12">
        <v>200</v>
      </c>
      <c r="W14" s="12">
        <f t="shared" si="8"/>
        <v>1.9999999999999998E-4</v>
      </c>
      <c r="X14" s="12" t="str">
        <f t="shared" si="0"/>
        <v>Low</v>
      </c>
      <c r="Y14" s="12" t="s">
        <v>211</v>
      </c>
      <c r="Z14" s="12">
        <f t="shared" si="4"/>
        <v>-3.8849356481498273E-2</v>
      </c>
      <c r="AA14" s="12">
        <f t="shared" si="5"/>
        <v>7.2111889441888488E-6</v>
      </c>
      <c r="AB14" s="12">
        <f t="shared" si="6"/>
        <v>6.6765683470489994E-6</v>
      </c>
      <c r="AC14" s="12">
        <f t="shared" si="7"/>
        <v>1.3887757291237847E-5</v>
      </c>
      <c r="AD14" s="12" t="s">
        <v>212</v>
      </c>
      <c r="AF14" s="12" t="s">
        <v>226</v>
      </c>
    </row>
    <row r="15" spans="1:32" s="12" customFormat="1" ht="15.75" x14ac:dyDescent="0.2">
      <c r="A15" s="12">
        <v>14</v>
      </c>
      <c r="B15" s="12">
        <v>3</v>
      </c>
      <c r="C15" s="12" t="s">
        <v>208</v>
      </c>
      <c r="D15" s="12" t="s">
        <v>220</v>
      </c>
      <c r="E15" s="12" t="s">
        <v>209</v>
      </c>
      <c r="F15" s="12" t="s">
        <v>210</v>
      </c>
      <c r="G15" s="12" t="s">
        <v>218</v>
      </c>
      <c r="H15" s="12" t="s">
        <v>216</v>
      </c>
      <c r="I15" s="12" t="s">
        <v>222</v>
      </c>
      <c r="J15" s="12">
        <v>3</v>
      </c>
      <c r="K15" s="12" t="s">
        <v>221</v>
      </c>
      <c r="L15" s="12">
        <v>18</v>
      </c>
      <c r="M15" s="12">
        <v>11.44458</v>
      </c>
      <c r="N15" s="12">
        <v>1.0089199999999998</v>
      </c>
      <c r="O15" s="12">
        <f t="shared" si="1"/>
        <v>4.2804850420483884</v>
      </c>
      <c r="P15" s="12">
        <v>15</v>
      </c>
      <c r="Q15" s="12">
        <v>11.571630000000001</v>
      </c>
      <c r="R15" s="12">
        <v>2.990000000000137E-2</v>
      </c>
      <c r="S15" s="12">
        <f t="shared" si="2"/>
        <v>0.11580220205160707</v>
      </c>
      <c r="T15" s="12">
        <v>20</v>
      </c>
      <c r="U15" s="12" t="s">
        <v>213</v>
      </c>
      <c r="V15" s="12">
        <v>20000</v>
      </c>
      <c r="W15" s="12">
        <f t="shared" si="8"/>
        <v>0.02</v>
      </c>
      <c r="X15" s="12" t="str">
        <f t="shared" si="0"/>
        <v>Low</v>
      </c>
      <c r="Y15" s="12" t="s">
        <v>211</v>
      </c>
      <c r="Z15" s="12">
        <f t="shared" si="4"/>
        <v>-1.1040157389562658E-2</v>
      </c>
      <c r="AA15" s="12">
        <f t="shared" si="5"/>
        <v>7.7716591284249679E-3</v>
      </c>
      <c r="AB15" s="12">
        <f t="shared" si="6"/>
        <v>6.6765683470489994E-6</v>
      </c>
      <c r="AC15" s="12">
        <f t="shared" si="7"/>
        <v>7.7783356967720168E-3</v>
      </c>
      <c r="AD15" s="12" t="s">
        <v>212</v>
      </c>
      <c r="AF15" s="12" t="s">
        <v>226</v>
      </c>
    </row>
    <row r="16" spans="1:32" s="12" customFormat="1" ht="15.75" x14ac:dyDescent="0.2">
      <c r="A16" s="12">
        <v>15</v>
      </c>
      <c r="B16" s="12">
        <v>3</v>
      </c>
      <c r="C16" s="12" t="s">
        <v>208</v>
      </c>
      <c r="D16" s="12" t="s">
        <v>219</v>
      </c>
      <c r="E16" s="12" t="s">
        <v>209</v>
      </c>
      <c r="F16" s="12" t="s">
        <v>210</v>
      </c>
      <c r="G16" s="12" t="s">
        <v>217</v>
      </c>
      <c r="H16" s="12" t="s">
        <v>216</v>
      </c>
      <c r="I16" s="12" t="s">
        <v>222</v>
      </c>
      <c r="J16" s="12">
        <v>3</v>
      </c>
      <c r="K16" s="12" t="s">
        <v>221</v>
      </c>
      <c r="L16" s="12">
        <v>19</v>
      </c>
      <c r="M16" s="12">
        <v>17.021000000000001</v>
      </c>
      <c r="N16" s="12">
        <v>0.88186999999999927</v>
      </c>
      <c r="O16" s="12">
        <f t="shared" si="1"/>
        <v>3.8439822113402111</v>
      </c>
      <c r="P16" s="12">
        <v>20</v>
      </c>
      <c r="Q16" s="12">
        <v>17.116980000000002</v>
      </c>
      <c r="R16" s="12">
        <v>1.5470199999999998</v>
      </c>
      <c r="S16" s="12">
        <f t="shared" si="2"/>
        <v>6.9184837651034492</v>
      </c>
      <c r="T16" s="12">
        <v>20</v>
      </c>
      <c r="U16" s="12" t="s">
        <v>214</v>
      </c>
      <c r="V16" s="12">
        <v>200</v>
      </c>
      <c r="W16" s="12">
        <f t="shared" si="8"/>
        <v>1.9999999999999998E-4</v>
      </c>
      <c r="X16" s="12" t="str">
        <f t="shared" si="0"/>
        <v>Low</v>
      </c>
      <c r="Y16" s="12" t="s">
        <v>211</v>
      </c>
      <c r="Z16" s="12">
        <f t="shared" si="4"/>
        <v>-5.6230774579615044E-3</v>
      </c>
      <c r="AA16" s="12">
        <f t="shared" si="5"/>
        <v>2.6843490929055855E-3</v>
      </c>
      <c r="AB16" s="12">
        <f t="shared" si="6"/>
        <v>8.168410787734769E-3</v>
      </c>
      <c r="AC16" s="12">
        <f t="shared" si="7"/>
        <v>1.0852759880640354E-2</v>
      </c>
      <c r="AD16" s="12" t="s">
        <v>212</v>
      </c>
      <c r="AF16" s="12" t="s">
        <v>226</v>
      </c>
    </row>
    <row r="17" spans="1:32" s="12" customFormat="1" ht="15.75" x14ac:dyDescent="0.2">
      <c r="A17" s="12">
        <v>16</v>
      </c>
      <c r="B17" s="12">
        <v>3</v>
      </c>
      <c r="C17" s="12" t="s">
        <v>208</v>
      </c>
      <c r="D17" s="12" t="s">
        <v>219</v>
      </c>
      <c r="E17" s="12" t="s">
        <v>209</v>
      </c>
      <c r="F17" s="12" t="s">
        <v>210</v>
      </c>
      <c r="G17" s="12" t="s">
        <v>217</v>
      </c>
      <c r="H17" s="12" t="s">
        <v>216</v>
      </c>
      <c r="I17" s="12" t="s">
        <v>222</v>
      </c>
      <c r="J17" s="12">
        <v>3</v>
      </c>
      <c r="K17" s="12" t="s">
        <v>221</v>
      </c>
      <c r="L17" s="12">
        <v>19</v>
      </c>
      <c r="M17" s="12">
        <v>13.933260000000001</v>
      </c>
      <c r="N17" s="12">
        <v>1.4498599999999993</v>
      </c>
      <c r="O17" s="12">
        <f t="shared" si="1"/>
        <v>6.319793222281878</v>
      </c>
      <c r="P17" s="12">
        <v>20</v>
      </c>
      <c r="Q17" s="12">
        <v>17.116980000000002</v>
      </c>
      <c r="R17" s="12">
        <v>1.5470199999999998</v>
      </c>
      <c r="S17" s="12">
        <f t="shared" si="2"/>
        <v>6.9184837651034492</v>
      </c>
      <c r="T17" s="12">
        <v>20</v>
      </c>
      <c r="U17" s="12" t="s">
        <v>213</v>
      </c>
      <c r="V17" s="12">
        <v>20000</v>
      </c>
      <c r="W17" s="12">
        <f t="shared" si="8"/>
        <v>0.02</v>
      </c>
      <c r="X17" s="12" t="str">
        <f t="shared" si="0"/>
        <v>Low</v>
      </c>
      <c r="Y17" s="12" t="s">
        <v>211</v>
      </c>
      <c r="Z17" s="12">
        <f t="shared" si="4"/>
        <v>-0.20579216559294175</v>
      </c>
      <c r="AA17" s="12">
        <f t="shared" si="5"/>
        <v>1.0827960282343252E-2</v>
      </c>
      <c r="AB17" s="12">
        <f t="shared" si="6"/>
        <v>8.168410787734769E-3</v>
      </c>
      <c r="AC17" s="12">
        <f t="shared" si="7"/>
        <v>1.8996371070078021E-2</v>
      </c>
      <c r="AD17" s="12" t="s">
        <v>212</v>
      </c>
      <c r="AF17" s="12" t="s">
        <v>226</v>
      </c>
    </row>
    <row r="18" spans="1:32" s="12" customFormat="1" ht="15.75" x14ac:dyDescent="0.2">
      <c r="A18" s="12">
        <v>17</v>
      </c>
      <c r="B18" s="12">
        <v>3</v>
      </c>
      <c r="C18" s="12" t="s">
        <v>208</v>
      </c>
      <c r="D18" s="12" t="s">
        <v>220</v>
      </c>
      <c r="E18" s="12" t="s">
        <v>209</v>
      </c>
      <c r="F18" s="12" t="s">
        <v>210</v>
      </c>
      <c r="G18" s="12" t="s">
        <v>218</v>
      </c>
      <c r="H18" s="12" t="s">
        <v>216</v>
      </c>
      <c r="I18" s="12" t="s">
        <v>222</v>
      </c>
      <c r="J18" s="12">
        <v>3</v>
      </c>
      <c r="K18" s="12" t="s">
        <v>221</v>
      </c>
      <c r="L18" s="12">
        <v>18</v>
      </c>
      <c r="M18" s="12">
        <v>14.09768</v>
      </c>
      <c r="N18" s="12">
        <v>1.3826000000000018</v>
      </c>
      <c r="O18" s="12">
        <f t="shared" si="1"/>
        <v>5.8658750140111309</v>
      </c>
      <c r="P18" s="12">
        <v>15</v>
      </c>
      <c r="Q18" s="12">
        <v>14.34431</v>
      </c>
      <c r="R18" s="12">
        <v>3.69191</v>
      </c>
      <c r="S18" s="12">
        <f t="shared" si="2"/>
        <v>14.298705945696625</v>
      </c>
      <c r="T18" s="12">
        <v>20</v>
      </c>
      <c r="U18" s="12" t="s">
        <v>214</v>
      </c>
      <c r="V18" s="12">
        <v>200</v>
      </c>
      <c r="W18" s="12">
        <f t="shared" si="8"/>
        <v>1.9999999999999998E-4</v>
      </c>
      <c r="X18" s="12" t="str">
        <f t="shared" si="0"/>
        <v>Low</v>
      </c>
      <c r="Y18" s="12" t="s">
        <v>211</v>
      </c>
      <c r="Z18" s="12">
        <f t="shared" si="4"/>
        <v>-1.7343103054055811E-2</v>
      </c>
      <c r="AA18" s="12">
        <f t="shared" si="5"/>
        <v>9.6182886934762322E-3</v>
      </c>
      <c r="AB18" s="12">
        <f t="shared" si="6"/>
        <v>6.6243441372857412E-2</v>
      </c>
      <c r="AC18" s="12">
        <f t="shared" si="7"/>
        <v>7.5861730066333649E-2</v>
      </c>
      <c r="AD18" s="12" t="s">
        <v>212</v>
      </c>
      <c r="AF18" s="12" t="s">
        <v>226</v>
      </c>
    </row>
    <row r="19" spans="1:32" s="12" customFormat="1" ht="15.75" x14ac:dyDescent="0.2">
      <c r="A19" s="12">
        <v>18</v>
      </c>
      <c r="B19" s="12">
        <v>3</v>
      </c>
      <c r="C19" s="12" t="s">
        <v>208</v>
      </c>
      <c r="D19" s="12" t="s">
        <v>220</v>
      </c>
      <c r="E19" s="12" t="s">
        <v>209</v>
      </c>
      <c r="F19" s="12" t="s">
        <v>210</v>
      </c>
      <c r="G19" s="12" t="s">
        <v>218</v>
      </c>
      <c r="H19" s="12" t="s">
        <v>216</v>
      </c>
      <c r="I19" s="12" t="s">
        <v>222</v>
      </c>
      <c r="J19" s="12">
        <v>3</v>
      </c>
      <c r="K19" s="12" t="s">
        <v>221</v>
      </c>
      <c r="L19" s="12">
        <v>18</v>
      </c>
      <c r="M19" s="12">
        <v>16.272469999999998</v>
      </c>
      <c r="N19" s="12">
        <v>3.1463499999999982</v>
      </c>
      <c r="O19" s="12">
        <f t="shared" si="1"/>
        <v>13.348832525917754</v>
      </c>
      <c r="P19" s="12">
        <v>15</v>
      </c>
      <c r="Q19" s="12">
        <v>14.34431</v>
      </c>
      <c r="R19" s="12">
        <v>3.69191</v>
      </c>
      <c r="S19" s="12">
        <f t="shared" si="2"/>
        <v>14.298705945696625</v>
      </c>
      <c r="T19" s="12">
        <v>20</v>
      </c>
      <c r="U19" s="12" t="s">
        <v>213</v>
      </c>
      <c r="V19" s="12">
        <v>20000</v>
      </c>
      <c r="W19" s="12">
        <f t="shared" si="8"/>
        <v>0.02</v>
      </c>
      <c r="X19" s="12" t="str">
        <f t="shared" si="0"/>
        <v>Low</v>
      </c>
      <c r="Y19" s="12" t="s">
        <v>211</v>
      </c>
      <c r="Z19" s="12">
        <f t="shared" si="4"/>
        <v>0.12612137496847953</v>
      </c>
      <c r="AA19" s="12">
        <f t="shared" si="5"/>
        <v>3.7385836703276325E-2</v>
      </c>
      <c r="AB19" s="12">
        <f t="shared" si="6"/>
        <v>6.6243441372857412E-2</v>
      </c>
      <c r="AC19" s="12">
        <f t="shared" si="7"/>
        <v>0.10362927807613373</v>
      </c>
      <c r="AD19" s="12" t="s">
        <v>212</v>
      </c>
      <c r="AF19" s="12" t="s">
        <v>226</v>
      </c>
    </row>
    <row r="20" spans="1:32" s="12" customFormat="1" ht="15.75" x14ac:dyDescent="0.2">
      <c r="A20" s="12">
        <v>19</v>
      </c>
      <c r="B20" s="12">
        <v>4</v>
      </c>
      <c r="C20" s="12" t="s">
        <v>232</v>
      </c>
      <c r="D20" s="12" t="s">
        <v>79</v>
      </c>
      <c r="E20" s="12" t="s">
        <v>234</v>
      </c>
      <c r="F20" s="12" t="s">
        <v>210</v>
      </c>
      <c r="G20" s="12" t="s">
        <v>217</v>
      </c>
      <c r="H20" s="12" t="s">
        <v>216</v>
      </c>
      <c r="I20" s="12" t="s">
        <v>222</v>
      </c>
      <c r="J20" s="12">
        <v>4</v>
      </c>
      <c r="K20" s="12" t="s">
        <v>182</v>
      </c>
      <c r="L20" s="12">
        <v>5</v>
      </c>
      <c r="M20" s="12">
        <v>11.55869</v>
      </c>
      <c r="N20" s="12">
        <v>0.9703299999999988</v>
      </c>
      <c r="O20" s="12">
        <f t="shared" si="1"/>
        <v>2.1697238406073684</v>
      </c>
      <c r="P20" s="12">
        <v>5</v>
      </c>
      <c r="Q20" s="12">
        <v>8.9045400000000008</v>
      </c>
      <c r="R20" s="12">
        <v>1.2557199999999984</v>
      </c>
      <c r="S20" s="12">
        <f t="shared" si="2"/>
        <v>2.8078752807060323</v>
      </c>
      <c r="T20" s="12">
        <v>5</v>
      </c>
      <c r="U20" s="12" t="s">
        <v>236</v>
      </c>
      <c r="V20" s="12" t="s">
        <v>712</v>
      </c>
      <c r="W20" s="12" t="str">
        <f>V20</f>
        <v>2.5 </v>
      </c>
      <c r="X20" s="12" t="str">
        <f t="shared" si="0"/>
        <v>High</v>
      </c>
      <c r="Y20" s="12" t="s">
        <v>235</v>
      </c>
      <c r="Z20" s="12">
        <f t="shared" si="4"/>
        <v>0.26087627598895885</v>
      </c>
      <c r="AA20" s="12">
        <f t="shared" si="5"/>
        <v>7.0472825641353124E-3</v>
      </c>
      <c r="AB20" s="12">
        <f t="shared" si="6"/>
        <v>1.9886696437203383E-2</v>
      </c>
      <c r="AC20" s="12">
        <f t="shared" si="7"/>
        <v>2.6933979001338697E-2</v>
      </c>
      <c r="AD20" s="12" t="s">
        <v>233</v>
      </c>
      <c r="AF20" s="12" t="s">
        <v>237</v>
      </c>
    </row>
    <row r="21" spans="1:32" s="12" customFormat="1" ht="15.75" x14ac:dyDescent="0.2">
      <c r="A21" s="12">
        <v>20</v>
      </c>
      <c r="B21" s="12">
        <v>4</v>
      </c>
      <c r="C21" s="12" t="s">
        <v>232</v>
      </c>
      <c r="D21" s="12" t="s">
        <v>79</v>
      </c>
      <c r="E21" s="12" t="s">
        <v>234</v>
      </c>
      <c r="F21" s="12" t="s">
        <v>210</v>
      </c>
      <c r="G21" s="12" t="s">
        <v>217</v>
      </c>
      <c r="H21" s="12" t="s">
        <v>216</v>
      </c>
      <c r="I21" s="12" t="s">
        <v>222</v>
      </c>
      <c r="J21" s="12">
        <v>4</v>
      </c>
      <c r="K21" s="12" t="s">
        <v>182</v>
      </c>
      <c r="L21" s="12">
        <v>5</v>
      </c>
      <c r="M21" s="12">
        <v>18.208320000000001</v>
      </c>
      <c r="N21" s="12">
        <v>0.77055999999999969</v>
      </c>
      <c r="O21" s="12">
        <f t="shared" si="1"/>
        <v>1.7230245407422373</v>
      </c>
      <c r="P21" s="12">
        <v>5</v>
      </c>
      <c r="Q21" s="12">
        <v>15.83957</v>
      </c>
      <c r="R21" s="12">
        <v>0.94178999999999924</v>
      </c>
      <c r="S21" s="12">
        <f t="shared" si="2"/>
        <v>2.1059064605295252</v>
      </c>
      <c r="T21" s="12">
        <v>5</v>
      </c>
      <c r="U21" s="12" t="s">
        <v>236</v>
      </c>
      <c r="V21" s="12" t="s">
        <v>712</v>
      </c>
      <c r="W21" s="12" t="str">
        <f>V21</f>
        <v>2.5 </v>
      </c>
      <c r="X21" s="12" t="str">
        <f t="shared" si="0"/>
        <v>High</v>
      </c>
      <c r="Y21" s="12" t="s">
        <v>235</v>
      </c>
      <c r="Z21" s="12">
        <f t="shared" si="4"/>
        <v>0.13936739292876876</v>
      </c>
      <c r="AA21" s="12">
        <f t="shared" si="5"/>
        <v>1.7909075499920922E-3</v>
      </c>
      <c r="AB21" s="12">
        <f t="shared" si="6"/>
        <v>3.5352601224277998E-3</v>
      </c>
      <c r="AC21" s="12">
        <f t="shared" si="7"/>
        <v>5.326167672419892E-3</v>
      </c>
      <c r="AD21" s="12" t="s">
        <v>233</v>
      </c>
      <c r="AF21" s="12" t="s">
        <v>237</v>
      </c>
    </row>
    <row r="22" spans="1:32" s="12" customFormat="1" ht="15.75" x14ac:dyDescent="0.2">
      <c r="A22" s="12">
        <v>21</v>
      </c>
      <c r="B22" s="12">
        <v>4</v>
      </c>
      <c r="C22" s="12" t="s">
        <v>232</v>
      </c>
      <c r="D22" s="12" t="s">
        <v>79</v>
      </c>
      <c r="E22" s="12" t="s">
        <v>234</v>
      </c>
      <c r="F22" s="12" t="s">
        <v>210</v>
      </c>
      <c r="G22" s="12" t="s">
        <v>217</v>
      </c>
      <c r="H22" s="12" t="s">
        <v>216</v>
      </c>
      <c r="I22" s="12" t="s">
        <v>222</v>
      </c>
      <c r="J22" s="12">
        <v>4</v>
      </c>
      <c r="K22" s="12" t="s">
        <v>182</v>
      </c>
      <c r="L22" s="12">
        <v>5</v>
      </c>
      <c r="M22" s="12">
        <v>34.589840000000002</v>
      </c>
      <c r="N22" s="12">
        <v>1.1130299999999949</v>
      </c>
      <c r="O22" s="12">
        <f t="shared" si="1"/>
        <v>2.4888107409965796</v>
      </c>
      <c r="P22" s="12">
        <v>5</v>
      </c>
      <c r="Q22" s="12">
        <v>29.395700000000001</v>
      </c>
      <c r="R22" s="12">
        <v>2.0548199999999994</v>
      </c>
      <c r="S22" s="12">
        <f t="shared" si="2"/>
        <v>4.5947172015261168</v>
      </c>
      <c r="T22" s="12">
        <v>5</v>
      </c>
      <c r="U22" s="12" t="s">
        <v>236</v>
      </c>
      <c r="V22" s="12" t="s">
        <v>712</v>
      </c>
      <c r="W22" s="12" t="str">
        <f>V22</f>
        <v>2.5 </v>
      </c>
      <c r="X22" s="12" t="str">
        <f t="shared" si="0"/>
        <v>High</v>
      </c>
      <c r="Y22" s="12" t="s">
        <v>235</v>
      </c>
      <c r="Z22" s="12">
        <f t="shared" si="4"/>
        <v>0.16271159217962314</v>
      </c>
      <c r="AA22" s="12">
        <f t="shared" si="5"/>
        <v>1.0354202019532432E-3</v>
      </c>
      <c r="AB22" s="12">
        <f t="shared" si="6"/>
        <v>4.8862980629073207E-3</v>
      </c>
      <c r="AC22" s="12">
        <f t="shared" si="7"/>
        <v>5.9217182648605635E-3</v>
      </c>
      <c r="AD22" s="12" t="s">
        <v>233</v>
      </c>
      <c r="AF22" s="12" t="s">
        <v>237</v>
      </c>
    </row>
    <row r="23" spans="1:32" s="14" customFormat="1" ht="15.75" x14ac:dyDescent="0.2">
      <c r="A23" s="14">
        <v>22</v>
      </c>
      <c r="B23" s="14">
        <v>5</v>
      </c>
      <c r="C23" s="14" t="s">
        <v>245</v>
      </c>
      <c r="D23" s="14" t="s">
        <v>246</v>
      </c>
      <c r="E23" s="14" t="s">
        <v>249</v>
      </c>
      <c r="F23" s="14" t="s">
        <v>133</v>
      </c>
      <c r="G23" s="14" t="s">
        <v>139</v>
      </c>
      <c r="H23" s="14" t="s">
        <v>140</v>
      </c>
      <c r="I23" s="14" t="s">
        <v>222</v>
      </c>
      <c r="J23" s="14">
        <v>5</v>
      </c>
      <c r="K23" s="14" t="s">
        <v>257</v>
      </c>
      <c r="L23" s="14">
        <v>6</v>
      </c>
      <c r="M23" s="14">
        <v>30.317489999999999</v>
      </c>
      <c r="O23" s="14">
        <v>5.0915200000000027</v>
      </c>
      <c r="P23" s="14">
        <v>6</v>
      </c>
      <c r="Q23" s="14">
        <v>31.247409999999999</v>
      </c>
      <c r="S23" s="14">
        <v>3.1066900000000039</v>
      </c>
      <c r="T23" s="14">
        <v>6</v>
      </c>
      <c r="U23" s="14" t="s">
        <v>250</v>
      </c>
      <c r="V23" s="14">
        <v>20</v>
      </c>
      <c r="W23" s="14">
        <f>V23 / 1000</f>
        <v>0.02</v>
      </c>
      <c r="X23" s="14" t="str">
        <f t="shared" si="0"/>
        <v>Low</v>
      </c>
      <c r="Y23" s="14" t="s">
        <v>248</v>
      </c>
      <c r="Z23" s="14">
        <f t="shared" si="4"/>
        <v>-3.0211719041418259E-2</v>
      </c>
      <c r="AA23" s="14">
        <f t="shared" si="5"/>
        <v>4.7006419468072422E-3</v>
      </c>
      <c r="AB23" s="14">
        <f t="shared" si="6"/>
        <v>1.6474662897366563E-3</v>
      </c>
      <c r="AC23" s="14">
        <f t="shared" si="7"/>
        <v>6.3481082365438989E-3</v>
      </c>
      <c r="AD23" s="14" t="s">
        <v>247</v>
      </c>
      <c r="AF23" s="14" t="s">
        <v>237</v>
      </c>
    </row>
    <row r="24" spans="1:32" s="14" customFormat="1" ht="15.75" x14ac:dyDescent="0.2">
      <c r="A24" s="14">
        <v>23</v>
      </c>
      <c r="B24" s="14">
        <v>5</v>
      </c>
      <c r="C24" s="14" t="s">
        <v>245</v>
      </c>
      <c r="D24" s="14" t="s">
        <v>246</v>
      </c>
      <c r="E24" s="14" t="s">
        <v>249</v>
      </c>
      <c r="F24" s="14" t="s">
        <v>133</v>
      </c>
      <c r="G24" s="14" t="s">
        <v>141</v>
      </c>
      <c r="H24" s="14" t="s">
        <v>140</v>
      </c>
      <c r="I24" s="14" t="s">
        <v>222</v>
      </c>
      <c r="J24" s="14">
        <v>5</v>
      </c>
      <c r="K24" s="14" t="s">
        <v>257</v>
      </c>
      <c r="L24" s="14">
        <v>6</v>
      </c>
      <c r="M24" s="14">
        <v>34.493220000000001</v>
      </c>
      <c r="O24" s="14">
        <v>4.5910000000000011</v>
      </c>
      <c r="P24" s="14">
        <v>6</v>
      </c>
      <c r="Q24" s="14">
        <v>32.473869999999998</v>
      </c>
      <c r="S24" s="14">
        <v>2.9168400000000005</v>
      </c>
      <c r="T24" s="14">
        <v>6</v>
      </c>
      <c r="U24" s="14" t="s">
        <v>250</v>
      </c>
      <c r="V24" s="14">
        <v>20</v>
      </c>
      <c r="W24" s="14">
        <f t="shared" ref="W24:W32" si="9">V24 / 1000</f>
        <v>0.02</v>
      </c>
      <c r="X24" s="14" t="str">
        <f t="shared" si="0"/>
        <v>Low</v>
      </c>
      <c r="Y24" s="14" t="s">
        <v>248</v>
      </c>
      <c r="Z24" s="14">
        <f t="shared" si="4"/>
        <v>6.0327017030908592E-2</v>
      </c>
      <c r="AA24" s="14">
        <f t="shared" si="5"/>
        <v>2.9525404649640213E-3</v>
      </c>
      <c r="AB24" s="14">
        <f t="shared" si="6"/>
        <v>1.344639510046905E-3</v>
      </c>
      <c r="AC24" s="14">
        <f t="shared" si="7"/>
        <v>4.2971799750109261E-3</v>
      </c>
      <c r="AD24" s="14" t="s">
        <v>247</v>
      </c>
      <c r="AF24" s="14" t="s">
        <v>237</v>
      </c>
    </row>
    <row r="25" spans="1:32" s="14" customFormat="1" ht="15.75" x14ac:dyDescent="0.2">
      <c r="A25" s="14">
        <v>24</v>
      </c>
      <c r="B25" s="14">
        <v>5</v>
      </c>
      <c r="C25" s="14" t="s">
        <v>245</v>
      </c>
      <c r="D25" s="14" t="s">
        <v>246</v>
      </c>
      <c r="E25" s="14" t="s">
        <v>249</v>
      </c>
      <c r="F25" s="14" t="s">
        <v>133</v>
      </c>
      <c r="G25" s="14" t="s">
        <v>139</v>
      </c>
      <c r="H25" s="14" t="s">
        <v>140</v>
      </c>
      <c r="I25" s="14" t="s">
        <v>222</v>
      </c>
      <c r="J25" s="14">
        <v>5</v>
      </c>
      <c r="K25" s="14" t="s">
        <v>257</v>
      </c>
      <c r="L25" s="14">
        <v>6</v>
      </c>
      <c r="M25" s="14">
        <v>28.45243</v>
      </c>
      <c r="O25" s="14">
        <v>6.817459999999997</v>
      </c>
      <c r="P25" s="14">
        <v>6</v>
      </c>
      <c r="Q25" s="14">
        <v>30.247409999999999</v>
      </c>
      <c r="S25" s="14">
        <v>3.1066900000000039</v>
      </c>
      <c r="T25" s="14">
        <v>6</v>
      </c>
      <c r="U25" s="14" t="s">
        <v>251</v>
      </c>
      <c r="V25" s="14">
        <v>40</v>
      </c>
      <c r="W25" s="14">
        <f t="shared" si="9"/>
        <v>0.04</v>
      </c>
      <c r="X25" s="14" t="str">
        <f t="shared" si="0"/>
        <v>Low</v>
      </c>
      <c r="Y25" s="14" t="s">
        <v>248</v>
      </c>
      <c r="Z25" s="14">
        <f t="shared" si="4"/>
        <v>-6.1176991046423115E-2</v>
      </c>
      <c r="AA25" s="14">
        <f t="shared" si="5"/>
        <v>9.5687502526529931E-3</v>
      </c>
      <c r="AB25" s="14">
        <f t="shared" si="6"/>
        <v>1.7581997025611742E-3</v>
      </c>
      <c r="AC25" s="14">
        <f t="shared" si="7"/>
        <v>1.1326949955214168E-2</v>
      </c>
      <c r="AD25" s="14" t="s">
        <v>247</v>
      </c>
      <c r="AF25" s="14" t="s">
        <v>237</v>
      </c>
    </row>
    <row r="26" spans="1:32" s="14" customFormat="1" ht="15.75" x14ac:dyDescent="0.2">
      <c r="A26" s="14">
        <v>25</v>
      </c>
      <c r="B26" s="14">
        <v>5</v>
      </c>
      <c r="C26" s="14" t="s">
        <v>245</v>
      </c>
      <c r="D26" s="14" t="s">
        <v>246</v>
      </c>
      <c r="E26" s="14" t="s">
        <v>249</v>
      </c>
      <c r="F26" s="14" t="s">
        <v>133</v>
      </c>
      <c r="G26" s="14" t="s">
        <v>141</v>
      </c>
      <c r="H26" s="14" t="s">
        <v>140</v>
      </c>
      <c r="I26" s="14" t="s">
        <v>222</v>
      </c>
      <c r="J26" s="14">
        <v>5</v>
      </c>
      <c r="K26" s="14" t="s">
        <v>257</v>
      </c>
      <c r="L26" s="14">
        <v>6</v>
      </c>
      <c r="M26" s="14">
        <v>31.76623</v>
      </c>
      <c r="O26" s="14">
        <v>4.6427800000000019</v>
      </c>
      <c r="P26" s="14">
        <v>6</v>
      </c>
      <c r="Q26" s="14">
        <v>32.473869999999998</v>
      </c>
      <c r="S26" s="14">
        <v>2.9168400000000005</v>
      </c>
      <c r="T26" s="14">
        <v>6</v>
      </c>
      <c r="U26" s="14" t="s">
        <v>251</v>
      </c>
      <c r="V26" s="14">
        <v>40</v>
      </c>
      <c r="W26" s="14">
        <f t="shared" si="9"/>
        <v>0.04</v>
      </c>
      <c r="X26" s="14" t="str">
        <f t="shared" si="0"/>
        <v>Low</v>
      </c>
      <c r="Y26" s="14" t="s">
        <v>248</v>
      </c>
      <c r="Z26" s="14">
        <f t="shared" si="4"/>
        <v>-2.2031990121836747E-2</v>
      </c>
      <c r="AA26" s="14">
        <f t="shared" si="5"/>
        <v>3.5601935366169862E-3</v>
      </c>
      <c r="AB26" s="14">
        <f t="shared" si="6"/>
        <v>1.344639510046905E-3</v>
      </c>
      <c r="AC26" s="14">
        <f t="shared" si="7"/>
        <v>4.9048330466638914E-3</v>
      </c>
      <c r="AD26" s="14" t="s">
        <v>247</v>
      </c>
      <c r="AF26" s="14" t="s">
        <v>237</v>
      </c>
    </row>
    <row r="27" spans="1:32" s="14" customFormat="1" ht="15.75" x14ac:dyDescent="0.2">
      <c r="A27" s="14">
        <v>26</v>
      </c>
      <c r="B27" s="14">
        <v>5</v>
      </c>
      <c r="C27" s="14" t="s">
        <v>245</v>
      </c>
      <c r="D27" s="14" t="s">
        <v>246</v>
      </c>
      <c r="E27" s="14" t="s">
        <v>249</v>
      </c>
      <c r="F27" s="14" t="s">
        <v>133</v>
      </c>
      <c r="G27" s="14" t="s">
        <v>139</v>
      </c>
      <c r="H27" s="14" t="s">
        <v>140</v>
      </c>
      <c r="I27" s="14" t="s">
        <v>222</v>
      </c>
      <c r="J27" s="14">
        <v>5</v>
      </c>
      <c r="K27" s="14" t="s">
        <v>257</v>
      </c>
      <c r="L27" s="14">
        <v>6</v>
      </c>
      <c r="M27" s="14">
        <v>30.012</v>
      </c>
      <c r="O27" s="14">
        <v>3.6244700000000023</v>
      </c>
      <c r="P27" s="14">
        <v>6</v>
      </c>
      <c r="Q27" s="14">
        <v>30.247409999999999</v>
      </c>
      <c r="S27" s="14">
        <v>3.1066900000000039</v>
      </c>
      <c r="T27" s="14">
        <v>6</v>
      </c>
      <c r="U27" s="14" t="s">
        <v>252</v>
      </c>
      <c r="V27" s="14">
        <v>60</v>
      </c>
      <c r="W27" s="14">
        <f t="shared" si="9"/>
        <v>0.06</v>
      </c>
      <c r="X27" s="14" t="str">
        <f t="shared" si="0"/>
        <v>Low</v>
      </c>
      <c r="Y27" s="14" t="s">
        <v>248</v>
      </c>
      <c r="Z27" s="14">
        <f t="shared" si="4"/>
        <v>-7.8132592930700382E-3</v>
      </c>
      <c r="AA27" s="14">
        <f t="shared" si="5"/>
        <v>2.430792529068462E-3</v>
      </c>
      <c r="AB27" s="14">
        <f t="shared" si="6"/>
        <v>1.7581997025611742E-3</v>
      </c>
      <c r="AC27" s="14">
        <f t="shared" si="7"/>
        <v>4.1889922316296364E-3</v>
      </c>
      <c r="AD27" s="14" t="s">
        <v>247</v>
      </c>
      <c r="AF27" s="14" t="s">
        <v>237</v>
      </c>
    </row>
    <row r="28" spans="1:32" s="14" customFormat="1" ht="15.75" x14ac:dyDescent="0.2">
      <c r="A28" s="14">
        <v>27</v>
      </c>
      <c r="B28" s="14">
        <v>5</v>
      </c>
      <c r="C28" s="14" t="s">
        <v>245</v>
      </c>
      <c r="D28" s="14" t="s">
        <v>246</v>
      </c>
      <c r="E28" s="14" t="s">
        <v>249</v>
      </c>
      <c r="F28" s="14" t="s">
        <v>133</v>
      </c>
      <c r="G28" s="14" t="s">
        <v>141</v>
      </c>
      <c r="H28" s="14" t="s">
        <v>140</v>
      </c>
      <c r="I28" s="14" t="s">
        <v>222</v>
      </c>
      <c r="J28" s="14">
        <v>5</v>
      </c>
      <c r="K28" s="14" t="s">
        <v>257</v>
      </c>
      <c r="L28" s="14">
        <v>6</v>
      </c>
      <c r="M28" s="14">
        <v>30.55808</v>
      </c>
      <c r="O28" s="14">
        <v>3.9351400000000005</v>
      </c>
      <c r="P28" s="14">
        <v>6</v>
      </c>
      <c r="Q28" s="14">
        <v>32.473869999999998</v>
      </c>
      <c r="S28" s="14">
        <v>2.9168400000000005</v>
      </c>
      <c r="T28" s="14">
        <v>6</v>
      </c>
      <c r="U28" s="14" t="s">
        <v>252</v>
      </c>
      <c r="V28" s="14">
        <v>60</v>
      </c>
      <c r="W28" s="14">
        <f t="shared" si="9"/>
        <v>0.06</v>
      </c>
      <c r="X28" s="14" t="str">
        <f t="shared" si="0"/>
        <v>Low</v>
      </c>
      <c r="Y28" s="14" t="s">
        <v>248</v>
      </c>
      <c r="Z28" s="14">
        <f t="shared" si="4"/>
        <v>-6.0806630854871625E-2</v>
      </c>
      <c r="AA28" s="14">
        <f t="shared" si="5"/>
        <v>2.7638660941115343E-3</v>
      </c>
      <c r="AB28" s="14">
        <f t="shared" si="6"/>
        <v>1.344639510046905E-3</v>
      </c>
      <c r="AC28" s="14">
        <f t="shared" si="7"/>
        <v>4.1085056041584396E-3</v>
      </c>
      <c r="AD28" s="14" t="s">
        <v>247</v>
      </c>
      <c r="AF28" s="14" t="s">
        <v>237</v>
      </c>
    </row>
    <row r="29" spans="1:32" s="14" customFormat="1" ht="15.75" x14ac:dyDescent="0.2">
      <c r="A29" s="14">
        <v>28</v>
      </c>
      <c r="B29" s="14">
        <v>5</v>
      </c>
      <c r="C29" s="14" t="s">
        <v>245</v>
      </c>
      <c r="D29" s="14" t="s">
        <v>246</v>
      </c>
      <c r="E29" s="14" t="s">
        <v>249</v>
      </c>
      <c r="F29" s="14" t="s">
        <v>133</v>
      </c>
      <c r="G29" s="14" t="s">
        <v>139</v>
      </c>
      <c r="H29" s="14" t="s">
        <v>140</v>
      </c>
      <c r="I29" s="14" t="s">
        <v>222</v>
      </c>
      <c r="J29" s="14">
        <v>5</v>
      </c>
      <c r="K29" s="14" t="s">
        <v>257</v>
      </c>
      <c r="L29" s="14">
        <v>6</v>
      </c>
      <c r="M29" s="14">
        <v>27.62398</v>
      </c>
      <c r="O29" s="14">
        <v>4.9706999999999972</v>
      </c>
      <c r="P29" s="14">
        <v>6</v>
      </c>
      <c r="Q29" s="14">
        <v>30.247409999999999</v>
      </c>
      <c r="S29" s="14">
        <v>3.1066900000000039</v>
      </c>
      <c r="T29" s="14">
        <v>6</v>
      </c>
      <c r="U29" s="14" t="s">
        <v>253</v>
      </c>
      <c r="V29" s="14">
        <v>120</v>
      </c>
      <c r="W29" s="14">
        <f t="shared" si="9"/>
        <v>0.12</v>
      </c>
      <c r="X29" s="14" t="str">
        <f t="shared" si="0"/>
        <v>Low</v>
      </c>
      <c r="Y29" s="14" t="s">
        <v>248</v>
      </c>
      <c r="Z29" s="14">
        <f t="shared" si="4"/>
        <v>-9.0726324897232147E-2</v>
      </c>
      <c r="AA29" s="14">
        <f t="shared" si="5"/>
        <v>5.3964897079918682E-3</v>
      </c>
      <c r="AB29" s="14">
        <f t="shared" si="6"/>
        <v>1.7581997025611742E-3</v>
      </c>
      <c r="AC29" s="14">
        <f t="shared" si="7"/>
        <v>7.1546894105530426E-3</v>
      </c>
      <c r="AD29" s="14" t="s">
        <v>247</v>
      </c>
      <c r="AF29" s="14" t="s">
        <v>237</v>
      </c>
    </row>
    <row r="30" spans="1:32" s="14" customFormat="1" ht="15.75" x14ac:dyDescent="0.2">
      <c r="A30" s="14">
        <v>29</v>
      </c>
      <c r="B30" s="14">
        <v>5</v>
      </c>
      <c r="C30" s="14" t="s">
        <v>245</v>
      </c>
      <c r="D30" s="14" t="s">
        <v>246</v>
      </c>
      <c r="E30" s="14" t="s">
        <v>249</v>
      </c>
      <c r="F30" s="14" t="s">
        <v>133</v>
      </c>
      <c r="G30" s="14" t="s">
        <v>141</v>
      </c>
      <c r="H30" s="14" t="s">
        <v>140</v>
      </c>
      <c r="I30" s="14" t="s">
        <v>222</v>
      </c>
      <c r="J30" s="14">
        <v>5</v>
      </c>
      <c r="K30" s="14" t="s">
        <v>257</v>
      </c>
      <c r="L30" s="14">
        <v>6</v>
      </c>
      <c r="M30" s="14">
        <v>33.043430000000001</v>
      </c>
      <c r="O30" s="14">
        <v>4.3148499999999999</v>
      </c>
      <c r="P30" s="14">
        <v>6</v>
      </c>
      <c r="Q30" s="14">
        <v>32.473869999999998</v>
      </c>
      <c r="S30" s="14">
        <v>2.9168400000000005</v>
      </c>
      <c r="T30" s="14">
        <v>6</v>
      </c>
      <c r="U30" s="14" t="s">
        <v>253</v>
      </c>
      <c r="V30" s="14">
        <v>120</v>
      </c>
      <c r="W30" s="14">
        <f t="shared" si="9"/>
        <v>0.12</v>
      </c>
      <c r="X30" s="14" t="str">
        <f t="shared" si="0"/>
        <v>Low</v>
      </c>
      <c r="Y30" s="14" t="s">
        <v>248</v>
      </c>
      <c r="Z30" s="14">
        <f t="shared" si="4"/>
        <v>1.7386990869497018E-2</v>
      </c>
      <c r="AA30" s="14">
        <f t="shared" si="5"/>
        <v>2.8419073221311445E-3</v>
      </c>
      <c r="AB30" s="14">
        <f t="shared" si="6"/>
        <v>1.344639510046905E-3</v>
      </c>
      <c r="AC30" s="14">
        <f t="shared" si="7"/>
        <v>4.1865468321780498E-3</v>
      </c>
      <c r="AD30" s="14" t="s">
        <v>247</v>
      </c>
      <c r="AF30" s="14" t="s">
        <v>237</v>
      </c>
    </row>
    <row r="31" spans="1:32" s="14" customFormat="1" ht="15.75" x14ac:dyDescent="0.2">
      <c r="A31" s="14">
        <v>30</v>
      </c>
      <c r="B31" s="14">
        <v>5</v>
      </c>
      <c r="C31" s="14" t="s">
        <v>245</v>
      </c>
      <c r="D31" s="14" t="s">
        <v>246</v>
      </c>
      <c r="E31" s="14" t="s">
        <v>249</v>
      </c>
      <c r="F31" s="14" t="s">
        <v>133</v>
      </c>
      <c r="G31" s="14" t="s">
        <v>139</v>
      </c>
      <c r="H31" s="14" t="s">
        <v>140</v>
      </c>
      <c r="I31" s="14" t="s">
        <v>222</v>
      </c>
      <c r="J31" s="14">
        <v>5</v>
      </c>
      <c r="K31" s="14" t="s">
        <v>257</v>
      </c>
      <c r="L31" s="14">
        <v>6</v>
      </c>
      <c r="M31" s="14">
        <v>29.660589999999999</v>
      </c>
      <c r="O31" s="14">
        <v>3.1239500000000007</v>
      </c>
      <c r="P31" s="14">
        <v>6</v>
      </c>
      <c r="Q31" s="14">
        <v>30.247409999999999</v>
      </c>
      <c r="S31" s="14">
        <v>3.1066900000000039</v>
      </c>
      <c r="T31" s="14">
        <v>6</v>
      </c>
      <c r="U31" s="14" t="s">
        <v>254</v>
      </c>
      <c r="V31" s="14">
        <v>320</v>
      </c>
      <c r="W31" s="14">
        <f t="shared" si="9"/>
        <v>0.32</v>
      </c>
      <c r="X31" s="14" t="str">
        <f t="shared" si="0"/>
        <v>Low</v>
      </c>
      <c r="Y31" s="14" t="s">
        <v>248</v>
      </c>
      <c r="Z31" s="14">
        <f t="shared" si="4"/>
        <v>-1.9591332354025107E-2</v>
      </c>
      <c r="AA31" s="14">
        <f t="shared" si="5"/>
        <v>1.8488314779116798E-3</v>
      </c>
      <c r="AB31" s="14">
        <f t="shared" si="6"/>
        <v>1.7581997025611742E-3</v>
      </c>
      <c r="AC31" s="14">
        <f t="shared" si="7"/>
        <v>3.6070311804728538E-3</v>
      </c>
      <c r="AD31" s="14" t="s">
        <v>247</v>
      </c>
      <c r="AF31" s="14" t="s">
        <v>237</v>
      </c>
    </row>
    <row r="32" spans="1:32" s="14" customFormat="1" ht="15.75" x14ac:dyDescent="0.2">
      <c r="A32" s="14">
        <v>31</v>
      </c>
      <c r="B32" s="14">
        <v>5</v>
      </c>
      <c r="C32" s="14" t="s">
        <v>245</v>
      </c>
      <c r="D32" s="14" t="s">
        <v>246</v>
      </c>
      <c r="E32" s="14" t="s">
        <v>249</v>
      </c>
      <c r="F32" s="14" t="s">
        <v>133</v>
      </c>
      <c r="G32" s="14" t="s">
        <v>141</v>
      </c>
      <c r="H32" s="14" t="s">
        <v>140</v>
      </c>
      <c r="I32" s="14" t="s">
        <v>222</v>
      </c>
      <c r="J32" s="14">
        <v>5</v>
      </c>
      <c r="K32" s="14" t="s">
        <v>257</v>
      </c>
      <c r="L32" s="14">
        <v>6</v>
      </c>
      <c r="M32" s="14">
        <v>34.44144</v>
      </c>
      <c r="O32" s="14">
        <v>6.489530000000002</v>
      </c>
      <c r="P32" s="14">
        <v>6</v>
      </c>
      <c r="Q32" s="14">
        <v>32.473869999999998</v>
      </c>
      <c r="S32" s="14">
        <v>2.9168400000000005</v>
      </c>
      <c r="T32" s="14">
        <v>6</v>
      </c>
      <c r="U32" s="14" t="s">
        <v>254</v>
      </c>
      <c r="V32" s="14">
        <v>320</v>
      </c>
      <c r="W32" s="14">
        <f t="shared" si="9"/>
        <v>0.32</v>
      </c>
      <c r="X32" s="14" t="str">
        <f t="shared" si="0"/>
        <v>Low</v>
      </c>
      <c r="Y32" s="14" t="s">
        <v>273</v>
      </c>
      <c r="Z32" s="14">
        <f t="shared" si="4"/>
        <v>5.8824724577781401E-2</v>
      </c>
      <c r="AA32" s="14">
        <f t="shared" si="5"/>
        <v>5.9171507846538128E-3</v>
      </c>
      <c r="AB32" s="14">
        <f t="shared" si="6"/>
        <v>1.344639510046905E-3</v>
      </c>
      <c r="AC32" s="14">
        <f t="shared" si="7"/>
        <v>7.2617902947007176E-3</v>
      </c>
      <c r="AD32" s="14" t="s">
        <v>247</v>
      </c>
      <c r="AF32" s="14" t="s">
        <v>237</v>
      </c>
    </row>
    <row r="33" spans="1:32" s="16" customFormat="1" ht="15.75" x14ac:dyDescent="0.2">
      <c r="A33" s="16">
        <v>32</v>
      </c>
      <c r="B33" s="16">
        <v>6</v>
      </c>
      <c r="C33" s="16" t="s">
        <v>282</v>
      </c>
      <c r="D33" s="16" t="s">
        <v>79</v>
      </c>
      <c r="E33" s="16" t="s">
        <v>281</v>
      </c>
      <c r="F33" s="16" t="s">
        <v>272</v>
      </c>
      <c r="G33" s="16" t="s">
        <v>278</v>
      </c>
      <c r="H33" s="16" t="s">
        <v>277</v>
      </c>
      <c r="I33" s="16" t="s">
        <v>222</v>
      </c>
      <c r="J33" s="16">
        <v>6</v>
      </c>
      <c r="K33" s="16" t="s">
        <v>287</v>
      </c>
      <c r="L33" s="16">
        <v>3</v>
      </c>
      <c r="M33" s="16">
        <v>11.51629</v>
      </c>
      <c r="O33" s="16">
        <v>0.6884200000000007</v>
      </c>
      <c r="P33" s="16">
        <v>3</v>
      </c>
      <c r="Q33" s="16">
        <v>13.91081</v>
      </c>
      <c r="S33" s="16">
        <v>8.3809999999999718E-2</v>
      </c>
      <c r="T33" s="16">
        <v>3</v>
      </c>
      <c r="U33" s="16" t="s">
        <v>284</v>
      </c>
      <c r="V33" s="16">
        <v>1000</v>
      </c>
      <c r="W33" s="16">
        <f>V33/1000</f>
        <v>1</v>
      </c>
      <c r="X33" s="16" t="str">
        <f t="shared" si="0"/>
        <v>Low</v>
      </c>
      <c r="Y33" s="16" t="s">
        <v>286</v>
      </c>
      <c r="Z33" s="16">
        <f t="shared" si="4"/>
        <v>-0.18890368094025867</v>
      </c>
      <c r="AA33" s="16">
        <f t="shared" si="5"/>
        <v>1.1911337162928061E-3</v>
      </c>
      <c r="AB33" s="16">
        <f t="shared" si="6"/>
        <v>1.2099448875636362E-5</v>
      </c>
      <c r="AC33" s="16">
        <f t="shared" si="7"/>
        <v>1.2032331651684425E-3</v>
      </c>
      <c r="AD33" s="16" t="s">
        <v>283</v>
      </c>
      <c r="AF33" s="16" t="s">
        <v>516</v>
      </c>
    </row>
    <row r="34" spans="1:32" s="16" customFormat="1" ht="15.75" x14ac:dyDescent="0.2">
      <c r="A34" s="16">
        <v>33</v>
      </c>
      <c r="B34" s="16">
        <v>6</v>
      </c>
      <c r="C34" s="16" t="s">
        <v>282</v>
      </c>
      <c r="D34" s="16" t="s">
        <v>79</v>
      </c>
      <c r="E34" s="16" t="s">
        <v>281</v>
      </c>
      <c r="F34" s="16" t="s">
        <v>272</v>
      </c>
      <c r="G34" s="16" t="s">
        <v>278</v>
      </c>
      <c r="H34" s="16" t="s">
        <v>277</v>
      </c>
      <c r="I34" s="16" t="s">
        <v>222</v>
      </c>
      <c r="J34" s="16">
        <v>6</v>
      </c>
      <c r="K34" s="16" t="s">
        <v>287</v>
      </c>
      <c r="L34" s="16">
        <v>3</v>
      </c>
      <c r="M34" s="16">
        <v>14.22809</v>
      </c>
      <c r="O34" s="16">
        <v>1.3708600000000004</v>
      </c>
      <c r="P34" s="16">
        <v>3</v>
      </c>
      <c r="Q34" s="16">
        <v>13.91081</v>
      </c>
      <c r="S34" s="16">
        <v>1.4786200000000012</v>
      </c>
      <c r="T34" s="16">
        <v>3</v>
      </c>
      <c r="U34" s="16" t="s">
        <v>285</v>
      </c>
      <c r="V34" s="16">
        <v>1000</v>
      </c>
      <c r="W34" s="16">
        <f>V34/1000</f>
        <v>1</v>
      </c>
      <c r="X34" s="16" t="str">
        <f t="shared" si="0"/>
        <v>Low</v>
      </c>
      <c r="Y34" s="16" t="s">
        <v>286</v>
      </c>
      <c r="Z34" s="16">
        <f t="shared" si="4"/>
        <v>2.2551943893343442E-2</v>
      </c>
      <c r="AA34" s="16">
        <f t="shared" si="5"/>
        <v>3.0943664724743733E-3</v>
      </c>
      <c r="AB34" s="16">
        <f t="shared" si="6"/>
        <v>3.76605848394467E-3</v>
      </c>
      <c r="AC34" s="16">
        <f t="shared" si="7"/>
        <v>6.8604249564190433E-3</v>
      </c>
      <c r="AD34" s="16" t="s">
        <v>283</v>
      </c>
      <c r="AF34" s="16" t="s">
        <v>516</v>
      </c>
    </row>
    <row r="35" spans="1:32" s="17" customFormat="1" ht="15.75" x14ac:dyDescent="0.2">
      <c r="A35" s="17">
        <v>34</v>
      </c>
      <c r="B35" s="17">
        <v>7</v>
      </c>
      <c r="C35" s="17" t="s">
        <v>292</v>
      </c>
      <c r="D35" s="17" t="s">
        <v>293</v>
      </c>
      <c r="E35" s="17" t="s">
        <v>294</v>
      </c>
      <c r="F35" s="17" t="s">
        <v>295</v>
      </c>
      <c r="G35" s="17" t="s">
        <v>289</v>
      </c>
      <c r="H35" s="17" t="s">
        <v>290</v>
      </c>
      <c r="I35" s="17" t="s">
        <v>296</v>
      </c>
      <c r="J35" s="17">
        <v>7</v>
      </c>
      <c r="K35" s="17" t="s">
        <v>291</v>
      </c>
      <c r="L35" s="17">
        <v>3</v>
      </c>
      <c r="M35" s="17">
        <v>8.7833799999999993</v>
      </c>
      <c r="N35" s="17">
        <v>2.2180000000000533E-2</v>
      </c>
      <c r="O35" s="17">
        <f xml:space="preserve"> N35*SQRT(L35)</f>
        <v>3.8416886911878619E-2</v>
      </c>
      <c r="P35" s="17">
        <v>3</v>
      </c>
      <c r="Q35" s="17">
        <v>8.9951600000000003</v>
      </c>
      <c r="R35" s="17">
        <v>1.2100000000000222E-2</v>
      </c>
      <c r="S35" s="17">
        <f xml:space="preserve"> R35*SQRT(P35)</f>
        <v>2.0957814771583799E-2</v>
      </c>
      <c r="T35" s="17">
        <v>3</v>
      </c>
      <c r="U35" s="17">
        <v>0.01</v>
      </c>
      <c r="V35" s="17">
        <v>1</v>
      </c>
      <c r="W35" s="17">
        <f>V35*10</f>
        <v>10</v>
      </c>
      <c r="X35" s="17" t="str">
        <f t="shared" si="0"/>
        <v>High</v>
      </c>
      <c r="Y35" s="17" t="s">
        <v>297</v>
      </c>
      <c r="Z35" s="17">
        <f t="shared" si="4"/>
        <v>-2.3825355505982616E-2</v>
      </c>
      <c r="AA35" s="17">
        <f t="shared" si="5"/>
        <v>6.3767551133313438E-6</v>
      </c>
      <c r="AB35" s="17">
        <f t="shared" si="6"/>
        <v>1.8094765334262218E-6</v>
      </c>
      <c r="AC35" s="17">
        <f t="shared" si="7"/>
        <v>8.1862316467575662E-6</v>
      </c>
      <c r="AD35" s="17" t="s">
        <v>298</v>
      </c>
      <c r="AF35" s="17" t="s">
        <v>312</v>
      </c>
    </row>
    <row r="36" spans="1:32" s="17" customFormat="1" ht="15.75" x14ac:dyDescent="0.2">
      <c r="A36" s="17">
        <v>35</v>
      </c>
      <c r="B36" s="17">
        <v>7</v>
      </c>
      <c r="C36" s="17" t="s">
        <v>292</v>
      </c>
      <c r="D36" s="17" t="s">
        <v>293</v>
      </c>
      <c r="E36" s="17" t="s">
        <v>294</v>
      </c>
      <c r="F36" s="17" t="s">
        <v>295</v>
      </c>
      <c r="G36" s="17" t="s">
        <v>289</v>
      </c>
      <c r="H36" s="17" t="s">
        <v>290</v>
      </c>
      <c r="I36" s="17" t="s">
        <v>296</v>
      </c>
      <c r="J36" s="17">
        <v>7</v>
      </c>
      <c r="K36" s="17" t="s">
        <v>291</v>
      </c>
      <c r="L36" s="17">
        <v>3</v>
      </c>
      <c r="M36" s="17">
        <v>8.8842300000000005</v>
      </c>
      <c r="N36" s="17">
        <v>3.4280000000000754E-2</v>
      </c>
      <c r="O36" s="17">
        <f t="shared" ref="O36:O51" si="10" xml:space="preserve"> N36*SQRT(L36)</f>
        <v>5.9374701683462414E-2</v>
      </c>
      <c r="P36" s="17">
        <v>3</v>
      </c>
      <c r="Q36" s="17">
        <v>8.9951600000000003</v>
      </c>
      <c r="R36" s="17">
        <v>1.2100000000000222E-2</v>
      </c>
      <c r="S36" s="17">
        <f t="shared" ref="S36:S51" si="11" xml:space="preserve"> R36*SQRT(P36)</f>
        <v>2.0957814771583799E-2</v>
      </c>
      <c r="T36" s="17">
        <v>3</v>
      </c>
      <c r="U36" s="17">
        <v>0.01</v>
      </c>
      <c r="V36" s="17">
        <v>1</v>
      </c>
      <c r="W36" s="17">
        <f t="shared" ref="W36:W44" si="12">V36*10</f>
        <v>10</v>
      </c>
      <c r="X36" s="17" t="str">
        <f t="shared" si="0"/>
        <v>High</v>
      </c>
      <c r="Y36" s="17" t="s">
        <v>297</v>
      </c>
      <c r="Z36" s="17">
        <f t="shared" si="4"/>
        <v>-1.2408859967966953E-2</v>
      </c>
      <c r="AA36" s="17">
        <f t="shared" si="5"/>
        <v>1.4888194710214093E-5</v>
      </c>
      <c r="AB36" s="17">
        <f t="shared" si="6"/>
        <v>1.8094765334262218E-6</v>
      </c>
      <c r="AC36" s="17">
        <f t="shared" si="7"/>
        <v>1.6697671243640315E-5</v>
      </c>
      <c r="AD36" s="17" t="s">
        <v>299</v>
      </c>
      <c r="AF36" s="17" t="s">
        <v>312</v>
      </c>
    </row>
    <row r="37" spans="1:32" s="17" customFormat="1" ht="15.75" x14ac:dyDescent="0.2">
      <c r="A37" s="17">
        <v>36</v>
      </c>
      <c r="B37" s="17">
        <v>7</v>
      </c>
      <c r="C37" s="17" t="s">
        <v>292</v>
      </c>
      <c r="D37" s="17" t="s">
        <v>293</v>
      </c>
      <c r="E37" s="17" t="s">
        <v>294</v>
      </c>
      <c r="F37" s="17" t="s">
        <v>295</v>
      </c>
      <c r="G37" s="17" t="s">
        <v>289</v>
      </c>
      <c r="H37" s="17" t="s">
        <v>300</v>
      </c>
      <c r="I37" s="17" t="s">
        <v>296</v>
      </c>
      <c r="J37" s="17">
        <v>7</v>
      </c>
      <c r="K37" s="17" t="s">
        <v>291</v>
      </c>
      <c r="L37" s="17">
        <v>3</v>
      </c>
      <c r="M37" s="17">
        <v>4.8656699999999997</v>
      </c>
      <c r="N37" s="17">
        <v>7.8660000000000174E-2</v>
      </c>
      <c r="O37" s="17">
        <f t="shared" si="10"/>
        <v>0.13624311652336818</v>
      </c>
      <c r="P37" s="17">
        <v>3</v>
      </c>
      <c r="Q37" s="17">
        <v>4.9261799999999996</v>
      </c>
      <c r="R37" s="17">
        <v>2.2190000000000154E-2</v>
      </c>
      <c r="S37" s="17">
        <f t="shared" si="11"/>
        <v>3.8434207419953653E-2</v>
      </c>
      <c r="T37" s="17">
        <v>3</v>
      </c>
      <c r="U37" s="17">
        <v>0.01</v>
      </c>
      <c r="V37" s="17">
        <v>1</v>
      </c>
      <c r="W37" s="17">
        <f t="shared" si="12"/>
        <v>10</v>
      </c>
      <c r="X37" s="17" t="str">
        <f t="shared" si="0"/>
        <v>High</v>
      </c>
      <c r="Y37" s="17" t="s">
        <v>297</v>
      </c>
      <c r="Z37" s="17">
        <f t="shared" si="4"/>
        <v>-1.2359415282273169E-2</v>
      </c>
      <c r="AA37" s="17">
        <f t="shared" si="5"/>
        <v>2.6135004697600895E-4</v>
      </c>
      <c r="AB37" s="17">
        <f t="shared" si="6"/>
        <v>2.0290560831101656E-5</v>
      </c>
      <c r="AC37" s="17">
        <f t="shared" si="7"/>
        <v>2.8164060780711063E-4</v>
      </c>
      <c r="AD37" s="17" t="s">
        <v>298</v>
      </c>
      <c r="AF37" s="17" t="s">
        <v>312</v>
      </c>
    </row>
    <row r="38" spans="1:32" s="17" customFormat="1" ht="15.75" x14ac:dyDescent="0.2">
      <c r="A38" s="17">
        <v>37</v>
      </c>
      <c r="B38" s="17">
        <v>7</v>
      </c>
      <c r="C38" s="17" t="s">
        <v>292</v>
      </c>
      <c r="D38" s="17" t="s">
        <v>293</v>
      </c>
      <c r="E38" s="17" t="s">
        <v>294</v>
      </c>
      <c r="F38" s="17" t="s">
        <v>295</v>
      </c>
      <c r="G38" s="17" t="s">
        <v>289</v>
      </c>
      <c r="H38" s="17" t="s">
        <v>300</v>
      </c>
      <c r="I38" s="17" t="s">
        <v>296</v>
      </c>
      <c r="J38" s="17">
        <v>7</v>
      </c>
      <c r="K38" s="17" t="s">
        <v>291</v>
      </c>
      <c r="L38" s="17">
        <v>3</v>
      </c>
      <c r="M38" s="17">
        <v>4.7819700000000003</v>
      </c>
      <c r="N38" s="17">
        <v>5.0419999999999909E-2</v>
      </c>
      <c r="O38" s="17">
        <f t="shared" si="10"/>
        <v>8.7330001717622632E-2</v>
      </c>
      <c r="P38" s="17">
        <v>3</v>
      </c>
      <c r="Q38" s="17">
        <v>4.9261799999999996</v>
      </c>
      <c r="R38" s="17">
        <v>2.2190000000000154E-2</v>
      </c>
      <c r="S38" s="17">
        <f t="shared" si="11"/>
        <v>3.8434207419953653E-2</v>
      </c>
      <c r="T38" s="17">
        <v>3</v>
      </c>
      <c r="U38" s="17">
        <v>0.01</v>
      </c>
      <c r="V38" s="17">
        <v>1</v>
      </c>
      <c r="W38" s="17">
        <f t="shared" si="12"/>
        <v>10</v>
      </c>
      <c r="X38" s="17" t="str">
        <f t="shared" si="0"/>
        <v>High</v>
      </c>
      <c r="Y38" s="17" t="s">
        <v>297</v>
      </c>
      <c r="Z38" s="17">
        <f t="shared" si="4"/>
        <v>-2.9711244343911949E-2</v>
      </c>
      <c r="AA38" s="17">
        <f t="shared" si="5"/>
        <v>1.1117112185465372E-4</v>
      </c>
      <c r="AB38" s="17">
        <f t="shared" si="6"/>
        <v>2.0290560831101656E-5</v>
      </c>
      <c r="AC38" s="17">
        <f t="shared" si="7"/>
        <v>1.3146168268575537E-4</v>
      </c>
      <c r="AD38" s="17" t="s">
        <v>299</v>
      </c>
      <c r="AF38" s="17" t="s">
        <v>312</v>
      </c>
    </row>
    <row r="39" spans="1:32" s="17" customFormat="1" ht="15.75" x14ac:dyDescent="0.2">
      <c r="A39" s="17">
        <v>38</v>
      </c>
      <c r="B39" s="17">
        <v>7</v>
      </c>
      <c r="C39" s="17" t="s">
        <v>292</v>
      </c>
      <c r="D39" s="17" t="s">
        <v>293</v>
      </c>
      <c r="E39" s="17" t="s">
        <v>294</v>
      </c>
      <c r="F39" s="17" t="s">
        <v>295</v>
      </c>
      <c r="G39" s="17" t="s">
        <v>289</v>
      </c>
      <c r="H39" s="17" t="s">
        <v>290</v>
      </c>
      <c r="I39" s="17" t="s">
        <v>296</v>
      </c>
      <c r="J39" s="17">
        <v>7</v>
      </c>
      <c r="K39" s="17" t="s">
        <v>291</v>
      </c>
      <c r="L39" s="17">
        <v>3</v>
      </c>
      <c r="M39" s="17">
        <v>10.97917</v>
      </c>
      <c r="N39" s="17">
        <v>0.31459000000000081</v>
      </c>
      <c r="O39" s="17">
        <f t="shared" si="10"/>
        <v>0.54488586355309454</v>
      </c>
      <c r="P39" s="17">
        <v>3</v>
      </c>
      <c r="Q39" s="17">
        <v>11.41756</v>
      </c>
      <c r="R39" s="17">
        <v>0.40186000000000099</v>
      </c>
      <c r="S39" s="17">
        <f t="shared" si="11"/>
        <v>0.69604193752963073</v>
      </c>
      <c r="T39" s="17">
        <v>3</v>
      </c>
      <c r="U39" s="17">
        <v>0.01</v>
      </c>
      <c r="V39" s="17">
        <v>1</v>
      </c>
      <c r="W39" s="17">
        <f t="shared" si="12"/>
        <v>10</v>
      </c>
      <c r="X39" s="17" t="str">
        <f t="shared" si="0"/>
        <v>High</v>
      </c>
      <c r="Y39" s="17" t="s">
        <v>297</v>
      </c>
      <c r="Z39" s="17">
        <f t="shared" si="4"/>
        <v>-3.9152679915339897E-2</v>
      </c>
      <c r="AA39" s="17">
        <f t="shared" si="5"/>
        <v>8.2101446246701359E-4</v>
      </c>
      <c r="AB39" s="17">
        <f t="shared" si="6"/>
        <v>1.2388050148033855E-3</v>
      </c>
      <c r="AC39" s="17">
        <f t="shared" si="7"/>
        <v>2.059819477270399E-3</v>
      </c>
      <c r="AD39" s="17" t="s">
        <v>298</v>
      </c>
      <c r="AF39" s="17" t="s">
        <v>312</v>
      </c>
    </row>
    <row r="40" spans="1:32" s="17" customFormat="1" ht="15.75" x14ac:dyDescent="0.2">
      <c r="A40" s="17">
        <v>39</v>
      </c>
      <c r="B40" s="17">
        <v>7</v>
      </c>
      <c r="C40" s="17" t="s">
        <v>292</v>
      </c>
      <c r="D40" s="17" t="s">
        <v>293</v>
      </c>
      <c r="E40" s="17" t="s">
        <v>294</v>
      </c>
      <c r="F40" s="17" t="s">
        <v>295</v>
      </c>
      <c r="G40" s="17" t="s">
        <v>289</v>
      </c>
      <c r="H40" s="17" t="s">
        <v>290</v>
      </c>
      <c r="I40" s="17" t="s">
        <v>296</v>
      </c>
      <c r="J40" s="17">
        <v>7</v>
      </c>
      <c r="K40" s="17" t="s">
        <v>291</v>
      </c>
      <c r="L40" s="17">
        <v>3</v>
      </c>
      <c r="M40" s="17">
        <v>10.69909</v>
      </c>
      <c r="N40" s="17">
        <v>0.15628000000000064</v>
      </c>
      <c r="O40" s="17">
        <f t="shared" si="10"/>
        <v>0.27068490020686525</v>
      </c>
      <c r="P40" s="17">
        <v>3</v>
      </c>
      <c r="Q40" s="17">
        <v>11.41756</v>
      </c>
      <c r="R40" s="17">
        <v>0.40186000000000099</v>
      </c>
      <c r="S40" s="17">
        <f t="shared" si="11"/>
        <v>0.69604193752963073</v>
      </c>
      <c r="T40" s="17">
        <v>3</v>
      </c>
      <c r="U40" s="17">
        <v>0.01</v>
      </c>
      <c r="V40" s="17">
        <v>1</v>
      </c>
      <c r="W40" s="17">
        <f t="shared" si="12"/>
        <v>10</v>
      </c>
      <c r="X40" s="17" t="str">
        <f t="shared" si="0"/>
        <v>High</v>
      </c>
      <c r="Y40" s="17" t="s">
        <v>297</v>
      </c>
      <c r="Z40" s="17">
        <f t="shared" si="4"/>
        <v>-6.4993830031867941E-2</v>
      </c>
      <c r="AA40" s="17">
        <f t="shared" si="5"/>
        <v>2.1336005936861628E-4</v>
      </c>
      <c r="AB40" s="17">
        <f t="shared" si="6"/>
        <v>1.2388050148033855E-3</v>
      </c>
      <c r="AC40" s="17">
        <f t="shared" si="7"/>
        <v>1.4521650741720017E-3</v>
      </c>
      <c r="AD40" s="17" t="s">
        <v>299</v>
      </c>
      <c r="AF40" s="17" t="s">
        <v>312</v>
      </c>
    </row>
    <row r="41" spans="1:32" s="17" customFormat="1" ht="15.75" x14ac:dyDescent="0.2">
      <c r="A41" s="17">
        <v>40</v>
      </c>
      <c r="B41" s="17">
        <v>7</v>
      </c>
      <c r="C41" s="17" t="s">
        <v>292</v>
      </c>
      <c r="D41" s="17" t="s">
        <v>293</v>
      </c>
      <c r="E41" s="17" t="s">
        <v>294</v>
      </c>
      <c r="F41" s="17" t="s">
        <v>295</v>
      </c>
      <c r="G41" s="17" t="s">
        <v>289</v>
      </c>
      <c r="H41" s="17" t="s">
        <v>290</v>
      </c>
      <c r="I41" s="17" t="s">
        <v>296</v>
      </c>
      <c r="J41" s="17">
        <v>7</v>
      </c>
      <c r="K41" s="17" t="s">
        <v>291</v>
      </c>
      <c r="L41" s="17">
        <v>3</v>
      </c>
      <c r="M41" s="17">
        <v>9.3311499999999992</v>
      </c>
      <c r="N41" s="17">
        <v>0.19078000000000017</v>
      </c>
      <c r="O41" s="17">
        <f t="shared" si="10"/>
        <v>0.3304406530679907</v>
      </c>
      <c r="P41" s="17">
        <v>3</v>
      </c>
      <c r="Q41" s="17">
        <v>11.41756</v>
      </c>
      <c r="R41" s="17">
        <v>0.40186000000000099</v>
      </c>
      <c r="S41" s="17">
        <f t="shared" si="11"/>
        <v>0.69604193752963073</v>
      </c>
      <c r="T41" s="17">
        <v>3</v>
      </c>
      <c r="U41" s="17">
        <v>0.04</v>
      </c>
      <c r="V41" s="17">
        <v>4</v>
      </c>
      <c r="W41" s="17">
        <f t="shared" si="12"/>
        <v>40</v>
      </c>
      <c r="X41" s="17" t="str">
        <f t="shared" si="0"/>
        <v>High</v>
      </c>
      <c r="Y41" s="17" t="s">
        <v>297</v>
      </c>
      <c r="Z41" s="17">
        <f t="shared" si="4"/>
        <v>-0.20179425558396877</v>
      </c>
      <c r="AA41" s="17">
        <f t="shared" si="5"/>
        <v>4.1801835050629351E-4</v>
      </c>
      <c r="AB41" s="17">
        <f t="shared" si="6"/>
        <v>1.2388050148033855E-3</v>
      </c>
      <c r="AC41" s="17">
        <f t="shared" si="7"/>
        <v>1.656823365309679E-3</v>
      </c>
      <c r="AD41" s="17" t="s">
        <v>299</v>
      </c>
      <c r="AF41" s="17" t="s">
        <v>312</v>
      </c>
    </row>
    <row r="42" spans="1:32" s="17" customFormat="1" ht="15.75" x14ac:dyDescent="0.2">
      <c r="A42" s="17">
        <v>41</v>
      </c>
      <c r="B42" s="17">
        <v>7</v>
      </c>
      <c r="C42" s="17" t="s">
        <v>292</v>
      </c>
      <c r="D42" s="17" t="s">
        <v>293</v>
      </c>
      <c r="E42" s="17" t="s">
        <v>306</v>
      </c>
      <c r="F42" s="17" t="s">
        <v>295</v>
      </c>
      <c r="G42" s="17" t="s">
        <v>289</v>
      </c>
      <c r="H42" s="17" t="s">
        <v>300</v>
      </c>
      <c r="I42" s="17" t="s">
        <v>296</v>
      </c>
      <c r="J42" s="17">
        <v>7</v>
      </c>
      <c r="K42" s="17" t="s">
        <v>291</v>
      </c>
      <c r="L42" s="17">
        <v>3</v>
      </c>
      <c r="M42" s="17">
        <v>5.0248100000000004</v>
      </c>
      <c r="N42" s="17">
        <v>8.4229999999999805E-2</v>
      </c>
      <c r="O42" s="17">
        <f t="shared" si="10"/>
        <v>0.1458906395215262</v>
      </c>
      <c r="P42" s="17">
        <v>3</v>
      </c>
      <c r="Q42" s="17">
        <v>5.26532</v>
      </c>
      <c r="R42" s="17">
        <v>7.814000000000032E-2</v>
      </c>
      <c r="S42" s="17">
        <f t="shared" si="11"/>
        <v>0.13534245010343263</v>
      </c>
      <c r="T42" s="17">
        <v>3</v>
      </c>
      <c r="U42" s="17">
        <v>0.01</v>
      </c>
      <c r="V42" s="17">
        <v>1</v>
      </c>
      <c r="W42" s="17">
        <f t="shared" si="12"/>
        <v>10</v>
      </c>
      <c r="X42" s="17" t="str">
        <f t="shared" si="0"/>
        <v>High</v>
      </c>
      <c r="Y42" s="17" t="s">
        <v>297</v>
      </c>
      <c r="Z42" s="17">
        <f t="shared" si="4"/>
        <v>-4.6754280181418056E-2</v>
      </c>
      <c r="AA42" s="17">
        <f t="shared" si="5"/>
        <v>2.8099223066837387E-4</v>
      </c>
      <c r="AB42" s="17">
        <f t="shared" si="6"/>
        <v>2.2024054476137153E-4</v>
      </c>
      <c r="AC42" s="17">
        <f t="shared" si="7"/>
        <v>5.0123277542974537E-4</v>
      </c>
      <c r="AD42" s="17" t="s">
        <v>298</v>
      </c>
      <c r="AF42" s="17" t="s">
        <v>312</v>
      </c>
    </row>
    <row r="43" spans="1:32" s="17" customFormat="1" ht="15.75" x14ac:dyDescent="0.2">
      <c r="A43" s="17">
        <v>42</v>
      </c>
      <c r="B43" s="17">
        <v>7</v>
      </c>
      <c r="C43" s="17" t="s">
        <v>292</v>
      </c>
      <c r="D43" s="17" t="s">
        <v>293</v>
      </c>
      <c r="E43" s="17" t="s">
        <v>294</v>
      </c>
      <c r="F43" s="17" t="s">
        <v>295</v>
      </c>
      <c r="G43" s="17" t="s">
        <v>289</v>
      </c>
      <c r="H43" s="17" t="s">
        <v>300</v>
      </c>
      <c r="I43" s="17" t="s">
        <v>296</v>
      </c>
      <c r="J43" s="17">
        <v>7</v>
      </c>
      <c r="K43" s="17" t="s">
        <v>291</v>
      </c>
      <c r="L43" s="17">
        <v>3</v>
      </c>
      <c r="M43" s="17">
        <v>5.0806199999999997</v>
      </c>
      <c r="N43" s="17">
        <v>5.5810000000000137E-2</v>
      </c>
      <c r="O43" s="17">
        <f t="shared" si="10"/>
        <v>9.6665755570419273E-2</v>
      </c>
      <c r="P43" s="17">
        <v>3</v>
      </c>
      <c r="Q43" s="17">
        <v>5.26532</v>
      </c>
      <c r="R43" s="17">
        <v>7.814000000000032E-2</v>
      </c>
      <c r="S43" s="17">
        <f t="shared" si="11"/>
        <v>0.13534245010343263</v>
      </c>
      <c r="T43" s="17">
        <v>3</v>
      </c>
      <c r="U43" s="17">
        <v>0.01</v>
      </c>
      <c r="V43" s="17">
        <v>1</v>
      </c>
      <c r="W43" s="17">
        <f t="shared" si="12"/>
        <v>10</v>
      </c>
      <c r="X43" s="17" t="str">
        <f t="shared" si="0"/>
        <v>High</v>
      </c>
      <c r="Y43" s="17" t="s">
        <v>297</v>
      </c>
      <c r="Z43" s="17">
        <f t="shared" si="4"/>
        <v>-3.5708621079106162E-2</v>
      </c>
      <c r="AA43" s="17">
        <f t="shared" si="5"/>
        <v>1.2066758417947224E-4</v>
      </c>
      <c r="AB43" s="17">
        <f t="shared" si="6"/>
        <v>2.2024054476137153E-4</v>
      </c>
      <c r="AC43" s="17">
        <f t="shared" si="7"/>
        <v>3.409081289408438E-4</v>
      </c>
      <c r="AD43" s="17" t="s">
        <v>299</v>
      </c>
      <c r="AF43" s="17" t="s">
        <v>312</v>
      </c>
    </row>
    <row r="44" spans="1:32" s="17" customFormat="1" ht="15.75" x14ac:dyDescent="0.2">
      <c r="A44" s="17">
        <v>43</v>
      </c>
      <c r="B44" s="17">
        <v>7</v>
      </c>
      <c r="C44" s="17" t="s">
        <v>292</v>
      </c>
      <c r="D44" s="17" t="s">
        <v>293</v>
      </c>
      <c r="E44" s="17" t="s">
        <v>294</v>
      </c>
      <c r="F44" s="17" t="s">
        <v>295</v>
      </c>
      <c r="G44" s="17" t="s">
        <v>289</v>
      </c>
      <c r="H44" s="17" t="s">
        <v>300</v>
      </c>
      <c r="I44" s="17" t="s">
        <v>296</v>
      </c>
      <c r="J44" s="17">
        <v>7</v>
      </c>
      <c r="K44" s="17" t="s">
        <v>291</v>
      </c>
      <c r="L44" s="17">
        <v>3</v>
      </c>
      <c r="M44" s="17">
        <v>4.9466700000000001</v>
      </c>
      <c r="N44" s="17">
        <v>9.5390000000000086E-2</v>
      </c>
      <c r="O44" s="17">
        <f t="shared" si="10"/>
        <v>0.16522032653399535</v>
      </c>
      <c r="P44" s="17">
        <v>3</v>
      </c>
      <c r="Q44" s="17">
        <v>5.26532</v>
      </c>
      <c r="R44" s="17">
        <v>7.814000000000032E-2</v>
      </c>
      <c r="S44" s="17">
        <f t="shared" si="11"/>
        <v>0.13534245010343263</v>
      </c>
      <c r="T44" s="17">
        <v>3</v>
      </c>
      <c r="U44" s="17">
        <v>0.04</v>
      </c>
      <c r="V44" s="17">
        <v>4</v>
      </c>
      <c r="W44" s="17">
        <f t="shared" si="12"/>
        <v>40</v>
      </c>
      <c r="X44" s="17" t="str">
        <f t="shared" si="0"/>
        <v>High</v>
      </c>
      <c r="Y44" s="17" t="s">
        <v>297</v>
      </c>
      <c r="Z44" s="17">
        <f t="shared" si="4"/>
        <v>-6.2427299541087083E-2</v>
      </c>
      <c r="AA44" s="17">
        <f t="shared" si="5"/>
        <v>3.7186030385125417E-4</v>
      </c>
      <c r="AB44" s="17">
        <f t="shared" si="6"/>
        <v>2.2024054476137153E-4</v>
      </c>
      <c r="AC44" s="17">
        <f t="shared" si="7"/>
        <v>5.9210084861262573E-4</v>
      </c>
      <c r="AD44" s="17" t="s">
        <v>299</v>
      </c>
      <c r="AF44" s="17" t="s">
        <v>312</v>
      </c>
    </row>
    <row r="45" spans="1:32" s="18" customFormat="1" ht="15.75" x14ac:dyDescent="0.2">
      <c r="A45" s="18">
        <v>44</v>
      </c>
      <c r="B45" s="18">
        <v>8</v>
      </c>
      <c r="C45" s="18" t="s">
        <v>308</v>
      </c>
      <c r="D45" s="18" t="s">
        <v>309</v>
      </c>
      <c r="E45" s="18" t="s">
        <v>307</v>
      </c>
      <c r="F45" s="18" t="s">
        <v>295</v>
      </c>
      <c r="G45" s="18" t="s">
        <v>289</v>
      </c>
      <c r="H45" s="18" t="s">
        <v>225</v>
      </c>
      <c r="I45" s="18" t="s">
        <v>222</v>
      </c>
      <c r="J45" s="18">
        <v>8</v>
      </c>
      <c r="K45" s="18" t="s">
        <v>315</v>
      </c>
      <c r="L45" s="18">
        <v>16</v>
      </c>
      <c r="M45" s="18">
        <v>65.384659999999997</v>
      </c>
      <c r="N45" s="18">
        <v>4.4297499999999985</v>
      </c>
      <c r="O45" s="18">
        <f t="shared" si="10"/>
        <v>17.718999999999994</v>
      </c>
      <c r="P45" s="18">
        <v>16</v>
      </c>
      <c r="Q45" s="18">
        <v>83.927149999999997</v>
      </c>
      <c r="R45" s="18">
        <v>1.4197900000000061</v>
      </c>
      <c r="S45" s="18">
        <f t="shared" si="11"/>
        <v>5.6791600000000244</v>
      </c>
      <c r="T45" s="18">
        <v>16</v>
      </c>
      <c r="U45" s="18" t="s">
        <v>314</v>
      </c>
      <c r="V45" s="18" t="s">
        <v>713</v>
      </c>
      <c r="W45" s="18" t="str">
        <f>V45</f>
        <v>0.022 </v>
      </c>
      <c r="X45" s="18" t="str">
        <f t="shared" si="0"/>
        <v>High</v>
      </c>
      <c r="Y45" s="18" t="s">
        <v>310</v>
      </c>
      <c r="Z45" s="18">
        <f t="shared" si="4"/>
        <v>-0.24966148627383566</v>
      </c>
      <c r="AA45" s="18">
        <f t="shared" si="5"/>
        <v>4.5899366780392933E-3</v>
      </c>
      <c r="AB45" s="18">
        <f t="shared" si="6"/>
        <v>2.8618263283737214E-4</v>
      </c>
      <c r="AC45" s="18">
        <f t="shared" si="7"/>
        <v>4.8761193108766655E-3</v>
      </c>
      <c r="AD45" s="18" t="s">
        <v>311</v>
      </c>
      <c r="AF45" s="18" t="s">
        <v>318</v>
      </c>
    </row>
    <row r="46" spans="1:32" s="21" customFormat="1" ht="15.75" x14ac:dyDescent="0.2">
      <c r="A46" s="21">
        <v>45</v>
      </c>
      <c r="B46" s="21">
        <v>9</v>
      </c>
      <c r="C46" s="21" t="s">
        <v>347</v>
      </c>
      <c r="D46" s="21" t="s">
        <v>355</v>
      </c>
      <c r="E46" s="21" t="s">
        <v>349</v>
      </c>
      <c r="F46" s="21" t="s">
        <v>333</v>
      </c>
      <c r="G46" s="21" t="s">
        <v>168</v>
      </c>
      <c r="H46" s="21" t="s">
        <v>140</v>
      </c>
      <c r="I46" s="21" t="s">
        <v>222</v>
      </c>
      <c r="J46" s="21">
        <v>9</v>
      </c>
      <c r="K46" s="21" t="s">
        <v>362</v>
      </c>
      <c r="L46" s="21">
        <v>3</v>
      </c>
      <c r="M46" s="21">
        <v>59.332090000000001</v>
      </c>
      <c r="N46" s="21">
        <v>15.187469999999998</v>
      </c>
      <c r="O46" s="21">
        <f t="shared" si="10"/>
        <v>26.305469678428093</v>
      </c>
      <c r="P46" s="21">
        <v>3</v>
      </c>
      <c r="Q46" s="21">
        <v>75.354029999999995</v>
      </c>
      <c r="R46" s="21">
        <v>11.57141</v>
      </c>
      <c r="S46" s="21">
        <f t="shared" si="11"/>
        <v>20.042270035210581</v>
      </c>
      <c r="T46" s="21">
        <v>3</v>
      </c>
      <c r="U46" s="21" t="s">
        <v>352</v>
      </c>
      <c r="V46" s="21">
        <v>100</v>
      </c>
      <c r="W46" s="21">
        <f t="shared" ref="W46:W51" si="13">V46 * 1000</f>
        <v>100000</v>
      </c>
      <c r="X46" s="21" t="str">
        <f t="shared" si="0"/>
        <v>High</v>
      </c>
      <c r="Y46" s="21" t="s">
        <v>351</v>
      </c>
      <c r="Z46" s="21">
        <f t="shared" si="4"/>
        <v>-0.23904710103659946</v>
      </c>
      <c r="AA46" s="21">
        <f t="shared" si="5"/>
        <v>6.5522667918721272E-2</v>
      </c>
      <c r="AB46" s="21">
        <f t="shared" si="6"/>
        <v>2.3580857631004582E-2</v>
      </c>
      <c r="AC46" s="21">
        <f t="shared" si="7"/>
        <v>8.9103525549725851E-2</v>
      </c>
      <c r="AD46" s="21" t="s">
        <v>350</v>
      </c>
      <c r="AF46" s="21" t="s">
        <v>361</v>
      </c>
    </row>
    <row r="47" spans="1:32" s="21" customFormat="1" ht="15.75" x14ac:dyDescent="0.2">
      <c r="A47" s="21">
        <v>46</v>
      </c>
      <c r="B47" s="21">
        <v>9</v>
      </c>
      <c r="C47" s="21" t="s">
        <v>347</v>
      </c>
      <c r="D47" s="21" t="s">
        <v>355</v>
      </c>
      <c r="E47" s="21" t="s">
        <v>349</v>
      </c>
      <c r="F47" s="21" t="s">
        <v>333</v>
      </c>
      <c r="G47" s="21" t="s">
        <v>168</v>
      </c>
      <c r="H47" s="21" t="s">
        <v>140</v>
      </c>
      <c r="I47" s="21" t="s">
        <v>222</v>
      </c>
      <c r="J47" s="21">
        <v>9</v>
      </c>
      <c r="K47" s="21" t="s">
        <v>362</v>
      </c>
      <c r="L47" s="21">
        <v>3</v>
      </c>
      <c r="M47" s="21">
        <v>65.117789999999999</v>
      </c>
      <c r="N47" s="21">
        <v>25.034289999999999</v>
      </c>
      <c r="O47" s="21">
        <f t="shared" si="10"/>
        <v>43.360662211413462</v>
      </c>
      <c r="P47" s="21">
        <v>3</v>
      </c>
      <c r="Q47" s="21">
        <v>75.354029999999995</v>
      </c>
      <c r="R47" s="21">
        <v>11.57141</v>
      </c>
      <c r="S47" s="21">
        <f t="shared" si="11"/>
        <v>20.042270035210581</v>
      </c>
      <c r="T47" s="21">
        <v>3</v>
      </c>
      <c r="U47" s="21" t="s">
        <v>353</v>
      </c>
      <c r="V47" s="21">
        <v>10000</v>
      </c>
      <c r="W47" s="21">
        <f t="shared" si="13"/>
        <v>10000000</v>
      </c>
      <c r="X47" s="21" t="str">
        <f t="shared" si="0"/>
        <v>High</v>
      </c>
      <c r="Y47" s="21" t="s">
        <v>351</v>
      </c>
      <c r="Z47" s="21">
        <f t="shared" si="4"/>
        <v>-0.14599962361287216</v>
      </c>
      <c r="AA47" s="21">
        <f t="shared" si="5"/>
        <v>0.14779891708702869</v>
      </c>
      <c r="AB47" s="21">
        <f t="shared" si="6"/>
        <v>2.3580857631004582E-2</v>
      </c>
      <c r="AC47" s="21">
        <f t="shared" si="7"/>
        <v>0.17137977471803328</v>
      </c>
      <c r="AD47" s="21" t="s">
        <v>350</v>
      </c>
      <c r="AF47" s="21" t="s">
        <v>361</v>
      </c>
    </row>
    <row r="48" spans="1:32" s="21" customFormat="1" ht="15.75" x14ac:dyDescent="0.2">
      <c r="A48" s="21">
        <v>47</v>
      </c>
      <c r="B48" s="21">
        <v>9</v>
      </c>
      <c r="C48" s="21" t="s">
        <v>347</v>
      </c>
      <c r="D48" s="21" t="s">
        <v>355</v>
      </c>
      <c r="E48" s="21" t="s">
        <v>349</v>
      </c>
      <c r="F48" s="21" t="s">
        <v>333</v>
      </c>
      <c r="G48" s="21" t="s">
        <v>168</v>
      </c>
      <c r="H48" s="21" t="s">
        <v>140</v>
      </c>
      <c r="I48" s="21" t="s">
        <v>222</v>
      </c>
      <c r="J48" s="21">
        <v>9</v>
      </c>
      <c r="K48" s="21" t="s">
        <v>362</v>
      </c>
      <c r="L48" s="21">
        <v>3</v>
      </c>
      <c r="M48" s="21">
        <v>60.722880000000004</v>
      </c>
      <c r="N48" s="21">
        <v>15.799419999999998</v>
      </c>
      <c r="O48" s="21">
        <f t="shared" si="10"/>
        <v>27.365398170119867</v>
      </c>
      <c r="P48" s="21">
        <v>3</v>
      </c>
      <c r="Q48" s="21">
        <v>75.354029999999995</v>
      </c>
      <c r="R48" s="21">
        <v>11.57141</v>
      </c>
      <c r="S48" s="21">
        <f t="shared" si="11"/>
        <v>20.042270035210581</v>
      </c>
      <c r="T48" s="21">
        <v>3</v>
      </c>
      <c r="U48" s="21" t="s">
        <v>354</v>
      </c>
      <c r="V48" s="21">
        <v>100000</v>
      </c>
      <c r="W48" s="21">
        <f t="shared" si="13"/>
        <v>100000000</v>
      </c>
      <c r="X48" s="21" t="str">
        <f t="shared" si="0"/>
        <v>High</v>
      </c>
      <c r="Y48" s="21" t="s">
        <v>351</v>
      </c>
      <c r="Z48" s="21">
        <f t="shared" si="4"/>
        <v>-0.21587684459222709</v>
      </c>
      <c r="AA48" s="21">
        <f t="shared" si="5"/>
        <v>6.7698269236111427E-2</v>
      </c>
      <c r="AB48" s="21">
        <f t="shared" si="6"/>
        <v>2.3580857631004582E-2</v>
      </c>
      <c r="AC48" s="21">
        <f t="shared" si="7"/>
        <v>9.1279126867116006E-2</v>
      </c>
      <c r="AD48" s="21" t="s">
        <v>350</v>
      </c>
      <c r="AF48" s="21" t="s">
        <v>361</v>
      </c>
    </row>
    <row r="49" spans="1:32" s="21" customFormat="1" ht="15.75" x14ac:dyDescent="0.2">
      <c r="A49" s="21">
        <v>48</v>
      </c>
      <c r="B49" s="21">
        <v>9</v>
      </c>
      <c r="C49" s="21" t="s">
        <v>347</v>
      </c>
      <c r="D49" s="21" t="s">
        <v>348</v>
      </c>
      <c r="E49" s="21" t="s">
        <v>349</v>
      </c>
      <c r="F49" s="21" t="s">
        <v>333</v>
      </c>
      <c r="G49" s="21" t="s">
        <v>168</v>
      </c>
      <c r="H49" s="21" t="s">
        <v>140</v>
      </c>
      <c r="I49" s="21" t="s">
        <v>222</v>
      </c>
      <c r="J49" s="21">
        <v>9</v>
      </c>
      <c r="K49" s="21" t="s">
        <v>362</v>
      </c>
      <c r="L49" s="21">
        <v>3</v>
      </c>
      <c r="M49" s="21">
        <v>65.119889999999998</v>
      </c>
      <c r="N49" s="21">
        <v>20.452600000000004</v>
      </c>
      <c r="O49" s="21">
        <f t="shared" si="10"/>
        <v>35.424942346883228</v>
      </c>
      <c r="P49" s="21">
        <v>3</v>
      </c>
      <c r="Q49" s="21">
        <v>71.900670000000005</v>
      </c>
      <c r="R49" s="21">
        <v>8.4897599999999898</v>
      </c>
      <c r="S49" s="21">
        <f t="shared" si="11"/>
        <v>14.704695664065934</v>
      </c>
      <c r="T49" s="21">
        <v>3</v>
      </c>
      <c r="U49" s="21" t="s">
        <v>352</v>
      </c>
      <c r="V49" s="21">
        <v>100</v>
      </c>
      <c r="W49" s="21">
        <f t="shared" si="13"/>
        <v>100000</v>
      </c>
      <c r="X49" s="21" t="str">
        <f t="shared" si="0"/>
        <v>High</v>
      </c>
      <c r="Y49" s="21" t="s">
        <v>351</v>
      </c>
      <c r="Z49" s="21">
        <f t="shared" si="4"/>
        <v>-9.9055550677828993E-2</v>
      </c>
      <c r="AA49" s="21">
        <f t="shared" si="5"/>
        <v>9.864378613842946E-2</v>
      </c>
      <c r="AB49" s="21">
        <f t="shared" si="6"/>
        <v>1.3941995933117018E-2</v>
      </c>
      <c r="AC49" s="21">
        <f t="shared" si="7"/>
        <v>0.11258578207154647</v>
      </c>
      <c r="AD49" s="21" t="s">
        <v>350</v>
      </c>
      <c r="AF49" s="21" t="s">
        <v>361</v>
      </c>
    </row>
    <row r="50" spans="1:32" s="21" customFormat="1" ht="15.75" x14ac:dyDescent="0.2">
      <c r="A50" s="21">
        <v>49</v>
      </c>
      <c r="B50" s="21">
        <v>9</v>
      </c>
      <c r="C50" s="21" t="s">
        <v>347</v>
      </c>
      <c r="D50" s="21" t="s">
        <v>348</v>
      </c>
      <c r="E50" s="21" t="s">
        <v>349</v>
      </c>
      <c r="F50" s="21" t="s">
        <v>333</v>
      </c>
      <c r="G50" s="21" t="s">
        <v>168</v>
      </c>
      <c r="H50" s="21" t="s">
        <v>140</v>
      </c>
      <c r="I50" s="21" t="s">
        <v>222</v>
      </c>
      <c r="J50" s="21">
        <v>9</v>
      </c>
      <c r="K50" s="21" t="s">
        <v>362</v>
      </c>
      <c r="L50" s="21">
        <v>3</v>
      </c>
      <c r="M50" s="21">
        <v>46.100630000000002</v>
      </c>
      <c r="N50" s="21">
        <v>9.9230899999999949</v>
      </c>
      <c r="O50" s="21">
        <f t="shared" si="10"/>
        <v>17.18729604807864</v>
      </c>
      <c r="P50" s="21">
        <v>3</v>
      </c>
      <c r="Q50" s="21">
        <v>71.900670000000005</v>
      </c>
      <c r="R50" s="21">
        <v>8.4897599999999898</v>
      </c>
      <c r="S50" s="21">
        <f t="shared" si="11"/>
        <v>14.704695664065934</v>
      </c>
      <c r="T50" s="21">
        <v>3</v>
      </c>
      <c r="U50" s="21" t="s">
        <v>353</v>
      </c>
      <c r="V50" s="21">
        <v>10000</v>
      </c>
      <c r="W50" s="21">
        <f t="shared" si="13"/>
        <v>10000000</v>
      </c>
      <c r="X50" s="21" t="str">
        <f t="shared" si="0"/>
        <v>High</v>
      </c>
      <c r="Y50" s="21" t="s">
        <v>351</v>
      </c>
      <c r="Z50" s="21">
        <f t="shared" si="4"/>
        <v>-0.44445896732867224</v>
      </c>
      <c r="AA50" s="21">
        <f t="shared" si="5"/>
        <v>4.6331903150645969E-2</v>
      </c>
      <c r="AB50" s="21">
        <f t="shared" si="6"/>
        <v>1.3941995933117018E-2</v>
      </c>
      <c r="AC50" s="21">
        <f t="shared" si="7"/>
        <v>6.0273899083762988E-2</v>
      </c>
      <c r="AD50" s="21" t="s">
        <v>350</v>
      </c>
      <c r="AF50" s="21" t="s">
        <v>361</v>
      </c>
    </row>
    <row r="51" spans="1:32" s="21" customFormat="1" ht="15.75" x14ac:dyDescent="0.2">
      <c r="A51" s="21">
        <v>50</v>
      </c>
      <c r="B51" s="21">
        <v>9</v>
      </c>
      <c r="C51" s="21" t="s">
        <v>347</v>
      </c>
      <c r="D51" s="21" t="s">
        <v>348</v>
      </c>
      <c r="E51" s="21" t="s">
        <v>349</v>
      </c>
      <c r="F51" s="21" t="s">
        <v>333</v>
      </c>
      <c r="G51" s="21" t="s">
        <v>168</v>
      </c>
      <c r="H51" s="21" t="s">
        <v>140</v>
      </c>
      <c r="I51" s="21" t="s">
        <v>222</v>
      </c>
      <c r="J51" s="21">
        <v>9</v>
      </c>
      <c r="K51" s="21" t="s">
        <v>362</v>
      </c>
      <c r="L51" s="21">
        <v>3</v>
      </c>
      <c r="M51" s="21">
        <v>45.714730000000003</v>
      </c>
      <c r="N51" s="21">
        <v>13.06541</v>
      </c>
      <c r="O51" s="21">
        <f t="shared" si="10"/>
        <v>22.629953941718483</v>
      </c>
      <c r="P51" s="21">
        <v>3</v>
      </c>
      <c r="Q51" s="21">
        <v>71.900670000000005</v>
      </c>
      <c r="R51" s="21">
        <v>8.4897599999999898</v>
      </c>
      <c r="S51" s="21">
        <f t="shared" si="11"/>
        <v>14.704695664065934</v>
      </c>
      <c r="T51" s="21">
        <v>3</v>
      </c>
      <c r="U51" s="21" t="s">
        <v>354</v>
      </c>
      <c r="V51" s="21">
        <v>100000</v>
      </c>
      <c r="W51" s="21">
        <f t="shared" si="13"/>
        <v>100000000</v>
      </c>
      <c r="X51" s="21" t="str">
        <f t="shared" si="0"/>
        <v>High</v>
      </c>
      <c r="Y51" s="21" t="s">
        <v>351</v>
      </c>
      <c r="Z51" s="21">
        <f t="shared" si="4"/>
        <v>-0.45286501774026561</v>
      </c>
      <c r="AA51" s="21">
        <f t="shared" si="5"/>
        <v>8.1683392592990539E-2</v>
      </c>
      <c r="AB51" s="21">
        <f t="shared" si="6"/>
        <v>1.3941995933117018E-2</v>
      </c>
      <c r="AC51" s="21">
        <f t="shared" si="7"/>
        <v>9.5625388526107552E-2</v>
      </c>
      <c r="AD51" s="21" t="s">
        <v>350</v>
      </c>
      <c r="AF51" s="21" t="s">
        <v>361</v>
      </c>
    </row>
    <row r="52" spans="1:32" s="34" customFormat="1" ht="15.75" x14ac:dyDescent="0.2">
      <c r="A52" s="34">
        <v>51</v>
      </c>
      <c r="B52" s="34">
        <v>10</v>
      </c>
      <c r="C52" s="34" t="s">
        <v>507</v>
      </c>
      <c r="D52" s="34" t="s">
        <v>508</v>
      </c>
      <c r="E52" s="34" t="s">
        <v>506</v>
      </c>
      <c r="F52" s="34" t="s">
        <v>509</v>
      </c>
      <c r="G52" s="34" t="s">
        <v>528</v>
      </c>
      <c r="H52" s="34" t="s">
        <v>527</v>
      </c>
      <c r="I52" s="34" t="s">
        <v>222</v>
      </c>
      <c r="J52" s="34">
        <v>10</v>
      </c>
      <c r="K52" s="34" t="s">
        <v>519</v>
      </c>
      <c r="L52" s="34">
        <v>3</v>
      </c>
      <c r="M52" s="34">
        <v>89.936300000000003</v>
      </c>
      <c r="O52" s="34">
        <v>0.56130999999999176</v>
      </c>
      <c r="P52" s="34">
        <v>3</v>
      </c>
      <c r="Q52" s="34">
        <v>95.629570000000001</v>
      </c>
      <c r="S52" s="34">
        <v>0.88205999999999563</v>
      </c>
      <c r="T52" s="34">
        <v>3</v>
      </c>
      <c r="U52" s="34" t="s">
        <v>520</v>
      </c>
      <c r="V52" s="34">
        <v>0.5</v>
      </c>
      <c r="W52" s="34">
        <f>V52</f>
        <v>0.5</v>
      </c>
      <c r="X52" s="34" t="str">
        <f t="shared" si="0"/>
        <v>Low</v>
      </c>
      <c r="Y52" s="34" t="s">
        <v>510</v>
      </c>
      <c r="Z52" s="34">
        <f t="shared" si="4"/>
        <v>-6.1380439894880554E-2</v>
      </c>
      <c r="AA52" s="34">
        <f t="shared" si="5"/>
        <v>1.2984172329322473E-5</v>
      </c>
      <c r="AB52" s="34">
        <f t="shared" si="6"/>
        <v>2.8358979278640107E-5</v>
      </c>
      <c r="AC52" s="34">
        <f t="shared" si="7"/>
        <v>4.134315160796258E-5</v>
      </c>
      <c r="AD52" s="34" t="s">
        <v>512</v>
      </c>
      <c r="AF52" s="34" t="s">
        <v>515</v>
      </c>
    </row>
    <row r="53" spans="1:32" s="34" customFormat="1" ht="15.75" x14ac:dyDescent="0.2">
      <c r="A53" s="34">
        <v>52</v>
      </c>
      <c r="B53" s="34">
        <v>10</v>
      </c>
      <c r="C53" s="34" t="s">
        <v>507</v>
      </c>
      <c r="D53" s="34" t="s">
        <v>508</v>
      </c>
      <c r="E53" s="34" t="s">
        <v>132</v>
      </c>
      <c r="F53" s="34" t="s">
        <v>509</v>
      </c>
      <c r="G53" s="34" t="s">
        <v>528</v>
      </c>
      <c r="H53" s="34" t="s">
        <v>527</v>
      </c>
      <c r="I53" s="34" t="s">
        <v>222</v>
      </c>
      <c r="J53" s="34">
        <v>10</v>
      </c>
      <c r="K53" s="34" t="s">
        <v>519</v>
      </c>
      <c r="L53" s="34">
        <v>3</v>
      </c>
      <c r="M53" s="34">
        <v>85.606210000000004</v>
      </c>
      <c r="O53" s="34">
        <v>0.80186999999999387</v>
      </c>
      <c r="P53" s="34">
        <v>3</v>
      </c>
      <c r="Q53" s="34">
        <v>95.629570000000001</v>
      </c>
      <c r="S53" s="34">
        <v>0.88205999999999563</v>
      </c>
      <c r="T53" s="34">
        <v>3</v>
      </c>
      <c r="U53" s="34" t="s">
        <v>520</v>
      </c>
      <c r="V53" s="34">
        <v>0.5</v>
      </c>
      <c r="W53" s="34">
        <f t="shared" ref="W53:W60" si="14">V53</f>
        <v>0.5</v>
      </c>
      <c r="X53" s="34" t="str">
        <f t="shared" si="0"/>
        <v>Low</v>
      </c>
      <c r="Y53" s="34" t="s">
        <v>511</v>
      </c>
      <c r="Z53" s="34">
        <f t="shared" si="4"/>
        <v>-0.11072425460914505</v>
      </c>
      <c r="AA53" s="34">
        <f t="shared" si="5"/>
        <v>2.9246650572249312E-5</v>
      </c>
      <c r="AB53" s="34">
        <f t="shared" si="6"/>
        <v>2.8358979278640107E-5</v>
      </c>
      <c r="AC53" s="34">
        <f t="shared" si="7"/>
        <v>5.7605629850889423E-5</v>
      </c>
      <c r="AD53" s="34" t="s">
        <v>512</v>
      </c>
      <c r="AF53" s="34" t="s">
        <v>515</v>
      </c>
    </row>
    <row r="54" spans="1:32" s="34" customFormat="1" ht="15.75" x14ac:dyDescent="0.2">
      <c r="A54" s="34">
        <v>53</v>
      </c>
      <c r="B54" s="34">
        <v>10</v>
      </c>
      <c r="C54" s="34" t="s">
        <v>507</v>
      </c>
      <c r="D54" s="34" t="s">
        <v>508</v>
      </c>
      <c r="E54" s="34" t="s">
        <v>132</v>
      </c>
      <c r="F54" s="34" t="s">
        <v>509</v>
      </c>
      <c r="G54" s="34" t="s">
        <v>528</v>
      </c>
      <c r="H54" s="34" t="s">
        <v>527</v>
      </c>
      <c r="I54" s="34" t="s">
        <v>222</v>
      </c>
      <c r="J54" s="34">
        <v>10</v>
      </c>
      <c r="K54" s="34" t="s">
        <v>519</v>
      </c>
      <c r="L54" s="34">
        <v>3</v>
      </c>
      <c r="M54" s="34">
        <v>82.719480000000004</v>
      </c>
      <c r="O54" s="34">
        <v>0.56130999999999176</v>
      </c>
      <c r="P54" s="34">
        <v>3</v>
      </c>
      <c r="Q54" s="34">
        <v>95.629570000000001</v>
      </c>
      <c r="S54" s="34">
        <v>0.88205999999999563</v>
      </c>
      <c r="T54" s="34">
        <v>3</v>
      </c>
      <c r="U54" s="34" t="s">
        <v>520</v>
      </c>
      <c r="V54" s="34">
        <v>0.5</v>
      </c>
      <c r="W54" s="34">
        <f t="shared" si="14"/>
        <v>0.5</v>
      </c>
      <c r="X54" s="34" t="str">
        <f t="shared" si="0"/>
        <v>Low</v>
      </c>
      <c r="Y54" s="34" t="s">
        <v>511</v>
      </c>
      <c r="Z54" s="34">
        <f t="shared" si="4"/>
        <v>-0.14502695738099103</v>
      </c>
      <c r="AA54" s="34">
        <f t="shared" si="5"/>
        <v>1.534859804875467E-5</v>
      </c>
      <c r="AB54" s="34">
        <f t="shared" si="6"/>
        <v>2.8358979278640107E-5</v>
      </c>
      <c r="AC54" s="34">
        <f t="shared" si="7"/>
        <v>4.3707577327394773E-5</v>
      </c>
      <c r="AD54" s="34" t="s">
        <v>512</v>
      </c>
      <c r="AF54" s="34" t="s">
        <v>515</v>
      </c>
    </row>
    <row r="55" spans="1:32" s="34" customFormat="1" ht="15.75" x14ac:dyDescent="0.2">
      <c r="A55" s="34">
        <v>54</v>
      </c>
      <c r="B55" s="34">
        <v>10</v>
      </c>
      <c r="C55" s="34" t="s">
        <v>507</v>
      </c>
      <c r="D55" s="34" t="s">
        <v>508</v>
      </c>
      <c r="E55" s="34" t="s">
        <v>132</v>
      </c>
      <c r="F55" s="34" t="s">
        <v>509</v>
      </c>
      <c r="G55" s="34" t="s">
        <v>518</v>
      </c>
      <c r="H55" s="34" t="s">
        <v>517</v>
      </c>
      <c r="I55" s="34" t="s">
        <v>222</v>
      </c>
      <c r="J55" s="34">
        <v>10</v>
      </c>
      <c r="K55" s="34" t="s">
        <v>519</v>
      </c>
      <c r="L55" s="34">
        <v>3</v>
      </c>
      <c r="M55" s="34">
        <v>16.201499999999999</v>
      </c>
      <c r="O55" s="34">
        <v>0.7252900000000011</v>
      </c>
      <c r="P55" s="34">
        <v>3</v>
      </c>
      <c r="Q55" s="34">
        <v>16.230090000000001</v>
      </c>
      <c r="S55" s="34">
        <v>0.36263999999999896</v>
      </c>
      <c r="T55" s="34">
        <v>3</v>
      </c>
      <c r="U55" s="34" t="s">
        <v>520</v>
      </c>
      <c r="V55" s="34">
        <v>0.5</v>
      </c>
      <c r="W55" s="34">
        <f t="shared" si="14"/>
        <v>0.5</v>
      </c>
      <c r="X55" s="34" t="str">
        <f t="shared" si="0"/>
        <v>Low</v>
      </c>
      <c r="Y55" s="34" t="s">
        <v>510</v>
      </c>
      <c r="Z55" s="34">
        <f t="shared" si="4"/>
        <v>-1.7630962531298578E-3</v>
      </c>
      <c r="AA55" s="34">
        <f t="shared" si="5"/>
        <v>6.6802339808388336E-4</v>
      </c>
      <c r="AB55" s="34">
        <f t="shared" si="6"/>
        <v>1.6641340283082858E-4</v>
      </c>
      <c r="AC55" s="34">
        <f t="shared" si="7"/>
        <v>8.3443680091471197E-4</v>
      </c>
      <c r="AD55" s="34" t="s">
        <v>512</v>
      </c>
      <c r="AF55" s="34" t="s">
        <v>237</v>
      </c>
    </row>
    <row r="56" spans="1:32" s="34" customFormat="1" ht="15.75" x14ac:dyDescent="0.2">
      <c r="A56" s="34">
        <v>55</v>
      </c>
      <c r="B56" s="34">
        <v>10</v>
      </c>
      <c r="C56" s="34" t="s">
        <v>507</v>
      </c>
      <c r="D56" s="34" t="s">
        <v>508</v>
      </c>
      <c r="E56" s="34" t="s">
        <v>132</v>
      </c>
      <c r="F56" s="34" t="s">
        <v>509</v>
      </c>
      <c r="G56" s="34" t="s">
        <v>518</v>
      </c>
      <c r="H56" s="34" t="s">
        <v>517</v>
      </c>
      <c r="I56" s="34" t="s">
        <v>222</v>
      </c>
      <c r="J56" s="34">
        <v>10</v>
      </c>
      <c r="K56" s="34" t="s">
        <v>519</v>
      </c>
      <c r="L56" s="34">
        <v>3</v>
      </c>
      <c r="M56" s="34">
        <v>16.18657</v>
      </c>
      <c r="O56" s="34">
        <v>0.46418999999999855</v>
      </c>
      <c r="P56" s="34">
        <v>3</v>
      </c>
      <c r="Q56" s="34">
        <v>16.230090000000001</v>
      </c>
      <c r="S56" s="34">
        <v>0.36263999999999896</v>
      </c>
      <c r="T56" s="34">
        <v>3</v>
      </c>
      <c r="U56" s="34" t="s">
        <v>520</v>
      </c>
      <c r="V56" s="34">
        <v>0.5</v>
      </c>
      <c r="W56" s="34">
        <f t="shared" si="14"/>
        <v>0.5</v>
      </c>
      <c r="X56" s="34" t="str">
        <f t="shared" si="0"/>
        <v>Low</v>
      </c>
      <c r="Y56" s="34" t="s">
        <v>511</v>
      </c>
      <c r="Z56" s="34">
        <f t="shared" si="4"/>
        <v>-2.6850407257408638E-3</v>
      </c>
      <c r="AA56" s="34">
        <f t="shared" si="5"/>
        <v>2.7413257549132626E-4</v>
      </c>
      <c r="AB56" s="34">
        <f t="shared" si="6"/>
        <v>1.6641340283082858E-4</v>
      </c>
      <c r="AC56" s="34">
        <f t="shared" si="7"/>
        <v>4.4054597832215482E-4</v>
      </c>
      <c r="AD56" s="34" t="s">
        <v>512</v>
      </c>
      <c r="AF56" s="34" t="s">
        <v>237</v>
      </c>
    </row>
    <row r="57" spans="1:32" s="34" customFormat="1" ht="15.75" x14ac:dyDescent="0.2">
      <c r="A57" s="34">
        <v>56</v>
      </c>
      <c r="B57" s="34">
        <v>10</v>
      </c>
      <c r="C57" s="34" t="s">
        <v>507</v>
      </c>
      <c r="D57" s="34" t="s">
        <v>508</v>
      </c>
      <c r="E57" s="34" t="s">
        <v>132</v>
      </c>
      <c r="F57" s="34" t="s">
        <v>509</v>
      </c>
      <c r="G57" s="34" t="s">
        <v>518</v>
      </c>
      <c r="H57" s="34" t="s">
        <v>517</v>
      </c>
      <c r="I57" s="34" t="s">
        <v>222</v>
      </c>
      <c r="J57" s="34">
        <v>10</v>
      </c>
      <c r="K57" s="34" t="s">
        <v>519</v>
      </c>
      <c r="L57" s="34">
        <v>3</v>
      </c>
      <c r="M57" s="34">
        <v>16.128550000000001</v>
      </c>
      <c r="O57" s="34">
        <v>0.15955999999999904</v>
      </c>
      <c r="P57" s="34">
        <v>3</v>
      </c>
      <c r="Q57" s="34">
        <v>16.230090000000001</v>
      </c>
      <c r="S57" s="34">
        <v>0.36263999999999896</v>
      </c>
      <c r="T57" s="34">
        <v>3</v>
      </c>
      <c r="U57" s="34" t="s">
        <v>520</v>
      </c>
      <c r="V57" s="34">
        <v>0.5</v>
      </c>
      <c r="W57" s="34">
        <f t="shared" si="14"/>
        <v>0.5</v>
      </c>
      <c r="X57" s="34" t="str">
        <f t="shared" si="0"/>
        <v>Low</v>
      </c>
      <c r="Y57" s="34" t="s">
        <v>511</v>
      </c>
      <c r="Z57" s="34">
        <f t="shared" si="4"/>
        <v>-6.2759333075996532E-3</v>
      </c>
      <c r="AA57" s="34">
        <f t="shared" si="5"/>
        <v>3.262392054741556E-5</v>
      </c>
      <c r="AB57" s="34">
        <f t="shared" si="6"/>
        <v>1.6641340283082858E-4</v>
      </c>
      <c r="AC57" s="34">
        <f t="shared" si="7"/>
        <v>1.9903732337824416E-4</v>
      </c>
      <c r="AD57" s="34" t="s">
        <v>512</v>
      </c>
      <c r="AF57" s="34" t="s">
        <v>237</v>
      </c>
    </row>
    <row r="58" spans="1:32" s="34" customFormat="1" ht="15.75" x14ac:dyDescent="0.2">
      <c r="A58" s="34">
        <v>57</v>
      </c>
      <c r="B58" s="34">
        <v>10</v>
      </c>
      <c r="C58" s="34" t="s">
        <v>507</v>
      </c>
      <c r="D58" s="34" t="s">
        <v>508</v>
      </c>
      <c r="E58" s="34" t="s">
        <v>132</v>
      </c>
      <c r="F58" s="34" t="s">
        <v>509</v>
      </c>
      <c r="G58" s="34" t="s">
        <v>139</v>
      </c>
      <c r="H58" s="34" t="s">
        <v>140</v>
      </c>
      <c r="I58" s="34" t="s">
        <v>222</v>
      </c>
      <c r="J58" s="34">
        <v>10</v>
      </c>
      <c r="K58" s="34" t="s">
        <v>519</v>
      </c>
      <c r="L58" s="34">
        <v>3</v>
      </c>
      <c r="M58" s="34">
        <v>15.287319999999999</v>
      </c>
      <c r="O58" s="34">
        <v>0.58909000000000056</v>
      </c>
      <c r="P58" s="34">
        <v>3</v>
      </c>
      <c r="Q58" s="34">
        <v>15.629810000000001</v>
      </c>
      <c r="S58" s="34">
        <v>0.19179999999999886</v>
      </c>
      <c r="T58" s="34">
        <v>3</v>
      </c>
      <c r="U58" s="34" t="s">
        <v>520</v>
      </c>
      <c r="V58" s="34">
        <v>0.5</v>
      </c>
      <c r="W58" s="34">
        <f t="shared" si="14"/>
        <v>0.5</v>
      </c>
      <c r="X58" s="34" t="str">
        <f t="shared" si="0"/>
        <v>Low</v>
      </c>
      <c r="Y58" s="34" t="s">
        <v>510</v>
      </c>
      <c r="Z58" s="34">
        <f t="shared" si="4"/>
        <v>-2.2156261630910945E-2</v>
      </c>
      <c r="AA58" s="34">
        <f t="shared" si="5"/>
        <v>4.9497051976683814E-4</v>
      </c>
      <c r="AB58" s="34">
        <f t="shared" si="6"/>
        <v>5.0195935622847247E-5</v>
      </c>
      <c r="AC58" s="34">
        <f t="shared" si="7"/>
        <v>5.4516645538968541E-4</v>
      </c>
      <c r="AD58" s="34" t="s">
        <v>512</v>
      </c>
      <c r="AF58" s="34" t="s">
        <v>237</v>
      </c>
    </row>
    <row r="59" spans="1:32" s="34" customFormat="1" ht="15.75" x14ac:dyDescent="0.2">
      <c r="A59" s="34">
        <v>58</v>
      </c>
      <c r="B59" s="34">
        <v>10</v>
      </c>
      <c r="C59" s="34" t="s">
        <v>507</v>
      </c>
      <c r="D59" s="34" t="s">
        <v>508</v>
      </c>
      <c r="E59" s="34" t="s">
        <v>132</v>
      </c>
      <c r="F59" s="34" t="s">
        <v>509</v>
      </c>
      <c r="G59" s="34" t="s">
        <v>139</v>
      </c>
      <c r="H59" s="34" t="s">
        <v>140</v>
      </c>
      <c r="I59" s="34" t="s">
        <v>222</v>
      </c>
      <c r="J59" s="34">
        <v>10</v>
      </c>
      <c r="K59" s="34" t="s">
        <v>519</v>
      </c>
      <c r="L59" s="34">
        <v>3</v>
      </c>
      <c r="M59" s="34">
        <v>15.575010000000001</v>
      </c>
      <c r="O59" s="34">
        <v>0.30139999999999922</v>
      </c>
      <c r="P59" s="34">
        <v>3</v>
      </c>
      <c r="Q59" s="34">
        <v>15.629810000000001</v>
      </c>
      <c r="S59" s="34">
        <v>0.19179999999999886</v>
      </c>
      <c r="T59" s="34">
        <v>3</v>
      </c>
      <c r="U59" s="34" t="s">
        <v>520</v>
      </c>
      <c r="V59" s="34">
        <v>0.5</v>
      </c>
      <c r="W59" s="34">
        <f t="shared" si="14"/>
        <v>0.5</v>
      </c>
      <c r="X59" s="34" t="str">
        <f t="shared" si="0"/>
        <v>Low</v>
      </c>
      <c r="Y59" s="34" t="s">
        <v>511</v>
      </c>
      <c r="Z59" s="34">
        <f t="shared" si="4"/>
        <v>-3.5122815215689611E-3</v>
      </c>
      <c r="AA59" s="34">
        <f t="shared" si="5"/>
        <v>1.2482701143055688E-4</v>
      </c>
      <c r="AB59" s="34">
        <f t="shared" si="6"/>
        <v>5.0195935622847247E-5</v>
      </c>
      <c r="AC59" s="34">
        <f t="shared" si="7"/>
        <v>1.7502294705340412E-4</v>
      </c>
      <c r="AD59" s="34" t="s">
        <v>512</v>
      </c>
      <c r="AF59" s="34" t="s">
        <v>237</v>
      </c>
    </row>
    <row r="60" spans="1:32" s="34" customFormat="1" ht="15.75" x14ac:dyDescent="0.2">
      <c r="A60" s="34">
        <v>59</v>
      </c>
      <c r="B60" s="34">
        <v>10</v>
      </c>
      <c r="C60" s="34" t="s">
        <v>507</v>
      </c>
      <c r="D60" s="34" t="s">
        <v>508</v>
      </c>
      <c r="E60" s="34" t="s">
        <v>132</v>
      </c>
      <c r="F60" s="34" t="s">
        <v>509</v>
      </c>
      <c r="G60" s="34" t="s">
        <v>139</v>
      </c>
      <c r="H60" s="34" t="s">
        <v>140</v>
      </c>
      <c r="I60" s="34" t="s">
        <v>222</v>
      </c>
      <c r="J60" s="34">
        <v>10</v>
      </c>
      <c r="K60" s="34" t="s">
        <v>519</v>
      </c>
      <c r="L60" s="34">
        <v>3</v>
      </c>
      <c r="M60" s="34">
        <v>15.328419999999999</v>
      </c>
      <c r="O60" s="34">
        <v>0.34248999999999974</v>
      </c>
      <c r="P60" s="34">
        <v>3</v>
      </c>
      <c r="Q60" s="34">
        <v>15.629810000000001</v>
      </c>
      <c r="S60" s="34">
        <v>0.19179999999999886</v>
      </c>
      <c r="T60" s="34">
        <v>3</v>
      </c>
      <c r="U60" s="34" t="s">
        <v>520</v>
      </c>
      <c r="V60" s="34">
        <v>0.5</v>
      </c>
      <c r="W60" s="34">
        <f t="shared" si="14"/>
        <v>0.5</v>
      </c>
      <c r="X60" s="34" t="str">
        <f t="shared" si="0"/>
        <v>Low</v>
      </c>
      <c r="Y60" s="34" t="s">
        <v>511</v>
      </c>
      <c r="Z60" s="34">
        <f t="shared" si="4"/>
        <v>-1.9471366561272692E-2</v>
      </c>
      <c r="AA60" s="34">
        <f t="shared" si="5"/>
        <v>1.6641012740550214E-4</v>
      </c>
      <c r="AB60" s="34">
        <f t="shared" si="6"/>
        <v>5.0195935622847247E-5</v>
      </c>
      <c r="AC60" s="34">
        <f t="shared" si="7"/>
        <v>2.1660606302834938E-4</v>
      </c>
      <c r="AD60" s="34" t="s">
        <v>512</v>
      </c>
      <c r="AF60" s="34" t="s">
        <v>237</v>
      </c>
    </row>
    <row r="61" spans="1:32" s="36" customFormat="1" ht="15.75" x14ac:dyDescent="0.2">
      <c r="A61" s="36">
        <v>60</v>
      </c>
      <c r="B61" s="36">
        <v>11</v>
      </c>
      <c r="C61" s="36" t="s">
        <v>555</v>
      </c>
      <c r="D61" s="36" t="s">
        <v>562</v>
      </c>
      <c r="E61" s="36" t="s">
        <v>556</v>
      </c>
      <c r="F61" s="36" t="s">
        <v>557</v>
      </c>
      <c r="G61" s="36" t="s">
        <v>521</v>
      </c>
      <c r="H61" s="36" t="s">
        <v>524</v>
      </c>
      <c r="I61" s="36" t="s">
        <v>563</v>
      </c>
      <c r="J61" s="36">
        <v>11</v>
      </c>
      <c r="K61" s="36" t="s">
        <v>561</v>
      </c>
      <c r="L61" s="36">
        <v>3</v>
      </c>
      <c r="M61" s="36">
        <v>91.821100000000001</v>
      </c>
      <c r="O61" s="36">
        <v>1.2103800000000007</v>
      </c>
      <c r="P61" s="36">
        <v>3</v>
      </c>
      <c r="Q61" s="36">
        <v>99.581770000000006</v>
      </c>
      <c r="S61" s="36">
        <v>0.28479000000000099</v>
      </c>
      <c r="T61" s="36">
        <v>3</v>
      </c>
      <c r="U61" s="36" t="s">
        <v>564</v>
      </c>
      <c r="V61" s="36">
        <v>6000</v>
      </c>
      <c r="W61" s="36">
        <f t="shared" ref="W61:W66" si="15">V61 * 10^-12</f>
        <v>6E-9</v>
      </c>
      <c r="X61" s="36" t="str">
        <f t="shared" si="0"/>
        <v>Low</v>
      </c>
      <c r="Y61" s="36" t="s">
        <v>565</v>
      </c>
      <c r="Z61" s="36">
        <f t="shared" si="4"/>
        <v>-8.1136996999504621E-2</v>
      </c>
      <c r="AA61" s="36">
        <f t="shared" si="5"/>
        <v>5.7921158619106304E-5</v>
      </c>
      <c r="AB61" s="36">
        <f t="shared" si="6"/>
        <v>2.7262679237966339E-6</v>
      </c>
      <c r="AC61" s="36">
        <f t="shared" si="7"/>
        <v>6.0647426542902938E-5</v>
      </c>
      <c r="AD61" s="36" t="s">
        <v>566</v>
      </c>
      <c r="AF61" s="36" t="s">
        <v>567</v>
      </c>
    </row>
    <row r="62" spans="1:32" s="36" customFormat="1" ht="15.75" x14ac:dyDescent="0.2">
      <c r="A62" s="36">
        <v>61</v>
      </c>
      <c r="B62" s="36">
        <v>11</v>
      </c>
      <c r="C62" s="36" t="s">
        <v>555</v>
      </c>
      <c r="D62" s="36" t="s">
        <v>562</v>
      </c>
      <c r="E62" s="36" t="s">
        <v>556</v>
      </c>
      <c r="F62" s="36" t="s">
        <v>557</v>
      </c>
      <c r="G62" s="36" t="s">
        <v>521</v>
      </c>
      <c r="H62" s="36" t="s">
        <v>524</v>
      </c>
      <c r="I62" s="36" t="s">
        <v>563</v>
      </c>
      <c r="J62" s="36">
        <v>11</v>
      </c>
      <c r="K62" s="36" t="s">
        <v>561</v>
      </c>
      <c r="L62" s="36">
        <v>3</v>
      </c>
      <c r="M62" s="36">
        <v>85.555599999999998</v>
      </c>
      <c r="O62" s="36">
        <v>0.8543899999999951</v>
      </c>
      <c r="P62" s="36">
        <v>3</v>
      </c>
      <c r="Q62" s="36">
        <v>99.581770000000006</v>
      </c>
      <c r="S62" s="36">
        <v>0.28479000000000099</v>
      </c>
      <c r="T62" s="36">
        <v>3</v>
      </c>
      <c r="U62" s="36" t="s">
        <v>564</v>
      </c>
      <c r="V62" s="36">
        <v>6000</v>
      </c>
      <c r="W62" s="36">
        <f t="shared" si="15"/>
        <v>6E-9</v>
      </c>
      <c r="X62" s="36" t="str">
        <f t="shared" si="0"/>
        <v>Low</v>
      </c>
      <c r="Y62" s="36" t="s">
        <v>565</v>
      </c>
      <c r="Z62" s="36">
        <f t="shared" si="4"/>
        <v>-0.15181265871771965</v>
      </c>
      <c r="AA62" s="36">
        <f t="shared" si="5"/>
        <v>3.3242538150263045E-5</v>
      </c>
      <c r="AB62" s="36">
        <f t="shared" si="6"/>
        <v>2.7262679237966339E-6</v>
      </c>
      <c r="AC62" s="36">
        <f t="shared" si="7"/>
        <v>3.5968806074059679E-5</v>
      </c>
      <c r="AD62" s="36" t="s">
        <v>566</v>
      </c>
      <c r="AF62" s="36" t="s">
        <v>567</v>
      </c>
    </row>
    <row r="63" spans="1:32" s="36" customFormat="1" ht="15.75" x14ac:dyDescent="0.2">
      <c r="A63" s="36">
        <v>62</v>
      </c>
      <c r="B63" s="36">
        <v>11</v>
      </c>
      <c r="C63" s="36" t="s">
        <v>555</v>
      </c>
      <c r="D63" s="36" t="s">
        <v>562</v>
      </c>
      <c r="E63" s="36" t="s">
        <v>556</v>
      </c>
      <c r="F63" s="36" t="s">
        <v>557</v>
      </c>
      <c r="G63" s="36" t="s">
        <v>568</v>
      </c>
      <c r="H63" s="36" t="s">
        <v>569</v>
      </c>
      <c r="I63" s="36" t="s">
        <v>563</v>
      </c>
      <c r="J63" s="36">
        <v>11</v>
      </c>
      <c r="K63" s="36" t="s">
        <v>561</v>
      </c>
      <c r="L63" s="36">
        <v>3</v>
      </c>
      <c r="M63" s="36">
        <v>15.95321</v>
      </c>
      <c r="O63" s="36">
        <v>0.46131999999999884</v>
      </c>
      <c r="P63" s="36">
        <v>3</v>
      </c>
      <c r="Q63" s="36">
        <v>16.51164</v>
      </c>
      <c r="S63" s="36">
        <v>0.20637999999999934</v>
      </c>
      <c r="T63" s="36">
        <v>3</v>
      </c>
      <c r="U63" s="36" t="s">
        <v>564</v>
      </c>
      <c r="V63" s="36">
        <v>6000</v>
      </c>
      <c r="W63" s="36">
        <f t="shared" si="15"/>
        <v>6E-9</v>
      </c>
      <c r="X63" s="36" t="str">
        <f t="shared" si="0"/>
        <v>Low</v>
      </c>
      <c r="Y63" s="36" t="s">
        <v>565</v>
      </c>
      <c r="Z63" s="36">
        <f t="shared" si="4"/>
        <v>-3.4405523835400895E-2</v>
      </c>
      <c r="AA63" s="36">
        <f t="shared" si="5"/>
        <v>2.7873220334846476E-4</v>
      </c>
      <c r="AB63" s="36">
        <f t="shared" si="6"/>
        <v>5.2075510862848381E-5</v>
      </c>
      <c r="AC63" s="36">
        <f t="shared" si="7"/>
        <v>3.3080771421131316E-4</v>
      </c>
      <c r="AD63" s="36" t="s">
        <v>566</v>
      </c>
      <c r="AF63" s="36" t="s">
        <v>570</v>
      </c>
    </row>
    <row r="64" spans="1:32" s="36" customFormat="1" ht="15.75" x14ac:dyDescent="0.2">
      <c r="A64" s="36">
        <v>63</v>
      </c>
      <c r="B64" s="36">
        <v>11</v>
      </c>
      <c r="C64" s="36" t="s">
        <v>555</v>
      </c>
      <c r="D64" s="36" t="s">
        <v>562</v>
      </c>
      <c r="E64" s="36" t="s">
        <v>556</v>
      </c>
      <c r="F64" s="36" t="s">
        <v>557</v>
      </c>
      <c r="G64" s="36" t="s">
        <v>568</v>
      </c>
      <c r="H64" s="36" t="s">
        <v>569</v>
      </c>
      <c r="I64" s="36" t="s">
        <v>563</v>
      </c>
      <c r="J64" s="36">
        <v>11</v>
      </c>
      <c r="K64" s="36" t="s">
        <v>561</v>
      </c>
      <c r="L64" s="36">
        <v>3</v>
      </c>
      <c r="M64" s="36">
        <v>16.062470000000001</v>
      </c>
      <c r="O64" s="36">
        <v>0.1456799999999987</v>
      </c>
      <c r="P64" s="36">
        <v>3</v>
      </c>
      <c r="Q64" s="36">
        <v>16.51164</v>
      </c>
      <c r="S64" s="36">
        <v>0.20637999999999934</v>
      </c>
      <c r="T64" s="36">
        <v>3</v>
      </c>
      <c r="U64" s="36" t="s">
        <v>564</v>
      </c>
      <c r="V64" s="36">
        <v>6000</v>
      </c>
      <c r="W64" s="36">
        <f t="shared" si="15"/>
        <v>6E-9</v>
      </c>
      <c r="X64" s="36" t="str">
        <f t="shared" si="0"/>
        <v>Low</v>
      </c>
      <c r="Y64" s="36" t="s">
        <v>565</v>
      </c>
      <c r="Z64" s="36">
        <f t="shared" si="4"/>
        <v>-2.7580091786482363E-2</v>
      </c>
      <c r="AA64" s="36">
        <f t="shared" si="5"/>
        <v>2.7419147748577305E-5</v>
      </c>
      <c r="AB64" s="36">
        <f t="shared" si="6"/>
        <v>5.2075510862848381E-5</v>
      </c>
      <c r="AC64" s="36">
        <f t="shared" si="7"/>
        <v>7.9494658611425686E-5</v>
      </c>
      <c r="AD64" s="36" t="s">
        <v>566</v>
      </c>
      <c r="AF64" s="36" t="s">
        <v>570</v>
      </c>
    </row>
    <row r="65" spans="1:32" s="36" customFormat="1" ht="15.75" x14ac:dyDescent="0.2">
      <c r="A65" s="36">
        <v>64</v>
      </c>
      <c r="B65" s="36">
        <v>11</v>
      </c>
      <c r="C65" s="36" t="s">
        <v>555</v>
      </c>
      <c r="D65" s="36" t="s">
        <v>562</v>
      </c>
      <c r="E65" s="36" t="s">
        <v>556</v>
      </c>
      <c r="F65" s="36" t="s">
        <v>557</v>
      </c>
      <c r="G65" s="36" t="s">
        <v>571</v>
      </c>
      <c r="H65" s="36" t="s">
        <v>569</v>
      </c>
      <c r="I65" s="36" t="s">
        <v>563</v>
      </c>
      <c r="J65" s="36">
        <v>11</v>
      </c>
      <c r="K65" s="36" t="s">
        <v>561</v>
      </c>
      <c r="L65" s="36">
        <v>3</v>
      </c>
      <c r="M65" s="36">
        <v>15.8543</v>
      </c>
      <c r="O65" s="36">
        <v>0.20914000000000144</v>
      </c>
      <c r="P65" s="36">
        <v>3</v>
      </c>
      <c r="Q65" s="36">
        <v>15.95683</v>
      </c>
      <c r="S65" s="36">
        <v>9.842000000000084E-2</v>
      </c>
      <c r="T65" s="36">
        <v>3</v>
      </c>
      <c r="U65" s="36" t="s">
        <v>564</v>
      </c>
      <c r="V65" s="36">
        <v>6000</v>
      </c>
      <c r="W65" s="36">
        <f t="shared" si="15"/>
        <v>6E-9</v>
      </c>
      <c r="X65" s="36" t="str">
        <f t="shared" si="0"/>
        <v>Low</v>
      </c>
      <c r="Y65" s="36" t="s">
        <v>565</v>
      </c>
      <c r="Z65" s="36">
        <f t="shared" si="4"/>
        <v>-6.446193834614272E-3</v>
      </c>
      <c r="AA65" s="36">
        <f t="shared" si="5"/>
        <v>5.8004115554324256E-5</v>
      </c>
      <c r="AB65" s="36">
        <f t="shared" si="6"/>
        <v>1.2680962850747882E-5</v>
      </c>
      <c r="AC65" s="36">
        <f t="shared" si="7"/>
        <v>7.068507840507214E-5</v>
      </c>
      <c r="AD65" s="36" t="s">
        <v>566</v>
      </c>
      <c r="AF65" s="36" t="s">
        <v>570</v>
      </c>
    </row>
    <row r="66" spans="1:32" s="36" customFormat="1" ht="15.75" x14ac:dyDescent="0.2">
      <c r="A66" s="36">
        <v>65</v>
      </c>
      <c r="B66" s="36">
        <v>11</v>
      </c>
      <c r="C66" s="36" t="s">
        <v>555</v>
      </c>
      <c r="D66" s="36" t="s">
        <v>562</v>
      </c>
      <c r="E66" s="36" t="s">
        <v>556</v>
      </c>
      <c r="F66" s="36" t="s">
        <v>557</v>
      </c>
      <c r="G66" s="36" t="s">
        <v>571</v>
      </c>
      <c r="H66" s="36" t="s">
        <v>569</v>
      </c>
      <c r="I66" s="36" t="s">
        <v>563</v>
      </c>
      <c r="J66" s="36">
        <v>11</v>
      </c>
      <c r="K66" s="36" t="s">
        <v>561</v>
      </c>
      <c r="L66" s="36">
        <v>3</v>
      </c>
      <c r="M66" s="36">
        <v>15.440149999999999</v>
      </c>
      <c r="O66" s="36">
        <v>0.20913000000000004</v>
      </c>
      <c r="P66" s="36">
        <v>3</v>
      </c>
      <c r="Q66" s="36">
        <v>15.95683</v>
      </c>
      <c r="S66" s="36">
        <v>9.842000000000084E-2</v>
      </c>
      <c r="T66" s="36">
        <v>3</v>
      </c>
      <c r="U66" s="36" t="s">
        <v>564</v>
      </c>
      <c r="V66" s="36">
        <v>6000</v>
      </c>
      <c r="W66" s="36">
        <f t="shared" si="15"/>
        <v>6E-9</v>
      </c>
      <c r="X66" s="36" t="str">
        <f t="shared" si="0"/>
        <v>Low</v>
      </c>
      <c r="Y66" s="36" t="s">
        <v>565</v>
      </c>
      <c r="Z66" s="36">
        <f t="shared" si="4"/>
        <v>-3.2915691164558648E-2</v>
      </c>
      <c r="AA66" s="36">
        <f t="shared" si="5"/>
        <v>6.1151679592255095E-5</v>
      </c>
      <c r="AB66" s="36">
        <f t="shared" si="6"/>
        <v>1.2680962850747882E-5</v>
      </c>
      <c r="AC66" s="36">
        <f t="shared" si="7"/>
        <v>7.3832642443002978E-5</v>
      </c>
      <c r="AD66" s="36" t="s">
        <v>566</v>
      </c>
      <c r="AF66" s="36" t="s">
        <v>570</v>
      </c>
    </row>
    <row r="67" spans="1:32" s="38" customFormat="1" ht="15.75" x14ac:dyDescent="0.2">
      <c r="A67" s="38">
        <v>66</v>
      </c>
      <c r="B67" s="38">
        <v>12</v>
      </c>
      <c r="C67" s="38" t="s">
        <v>583</v>
      </c>
      <c r="D67" s="38" t="s">
        <v>584</v>
      </c>
      <c r="E67" s="38" t="s">
        <v>587</v>
      </c>
      <c r="F67" s="38" t="s">
        <v>586</v>
      </c>
      <c r="G67" s="38" t="s">
        <v>528</v>
      </c>
      <c r="H67" s="38" t="s">
        <v>527</v>
      </c>
      <c r="I67" s="38" t="s">
        <v>222</v>
      </c>
      <c r="J67" s="38">
        <v>12</v>
      </c>
      <c r="K67" s="38" t="s">
        <v>589</v>
      </c>
      <c r="L67" s="38">
        <v>3</v>
      </c>
      <c r="M67" s="38">
        <v>24.78</v>
      </c>
      <c r="N67" s="38">
        <v>0.94</v>
      </c>
      <c r="O67" s="38">
        <f xml:space="preserve"> N67*SQRT(L67)</f>
        <v>1.6281277591147445</v>
      </c>
      <c r="P67" s="38">
        <v>3</v>
      </c>
      <c r="Q67" s="38">
        <v>24.85</v>
      </c>
      <c r="R67" s="38">
        <v>0.92</v>
      </c>
      <c r="S67" s="38">
        <f xml:space="preserve"> R67*SQRT(P67)</f>
        <v>1.593486742963367</v>
      </c>
      <c r="T67" s="38">
        <v>3</v>
      </c>
      <c r="U67" s="38" t="s">
        <v>590</v>
      </c>
      <c r="V67" s="38">
        <v>0.25</v>
      </c>
      <c r="W67" s="38">
        <f>(V67 / 1000) / (0.5 / 1000)</f>
        <v>0.5</v>
      </c>
      <c r="X67" s="38" t="str">
        <f t="shared" ref="X67:X75" si="16">IF(W67&lt;=1, "Low", IF(W67&lt;10, "Medium", "High"))</f>
        <v>Low</v>
      </c>
      <c r="Y67" s="38" t="s">
        <v>591</v>
      </c>
      <c r="Z67" s="38">
        <f t="shared" ref="Z67:Z75" si="17">LN(M67/Q67)</f>
        <v>-2.8208763416413406E-3</v>
      </c>
      <c r="AA67" s="38">
        <f t="shared" ref="AA67:AA75" si="18">(O67^2)/(L67*M67^2)</f>
        <v>1.4389745173181785E-3</v>
      </c>
      <c r="AB67" s="38">
        <f t="shared" ref="AB67:AB75" si="19">(S67^2)/(P67*Q67^2)</f>
        <v>1.3706383168224636E-3</v>
      </c>
      <c r="AC67" s="38">
        <f t="shared" ref="AC67:AC75" si="20">SUM(AA67,AB67)</f>
        <v>2.8096128341406424E-3</v>
      </c>
      <c r="AD67" s="38" t="s">
        <v>585</v>
      </c>
      <c r="AF67" s="38" t="s">
        <v>592</v>
      </c>
    </row>
    <row r="68" spans="1:32" s="40" customFormat="1" ht="15.75" x14ac:dyDescent="0.2">
      <c r="A68" s="40">
        <v>67</v>
      </c>
      <c r="B68" s="40">
        <v>13</v>
      </c>
      <c r="C68" s="40" t="s">
        <v>615</v>
      </c>
      <c r="D68" s="40" t="s">
        <v>616</v>
      </c>
      <c r="E68" s="40" t="s">
        <v>617</v>
      </c>
      <c r="F68" s="40" t="s">
        <v>598</v>
      </c>
      <c r="G68" s="40" t="s">
        <v>593</v>
      </c>
      <c r="H68" s="40" t="s">
        <v>625</v>
      </c>
      <c r="I68" s="40" t="s">
        <v>222</v>
      </c>
      <c r="J68" s="40">
        <v>13</v>
      </c>
      <c r="K68" s="40" t="s">
        <v>626</v>
      </c>
      <c r="L68" s="40">
        <v>4</v>
      </c>
      <c r="M68" s="40">
        <v>86.216970000000003</v>
      </c>
      <c r="O68" s="40">
        <v>5.6498599999999897</v>
      </c>
      <c r="P68" s="40">
        <v>4</v>
      </c>
      <c r="Q68" s="40">
        <v>96.78295</v>
      </c>
      <c r="S68" s="40">
        <v>3.2284899999999936</v>
      </c>
      <c r="T68" s="40">
        <v>4</v>
      </c>
      <c r="U68" s="40" t="s">
        <v>619</v>
      </c>
      <c r="V68" s="40">
        <v>150</v>
      </c>
      <c r="W68" s="40">
        <f>V68/1000</f>
        <v>0.15</v>
      </c>
      <c r="X68" s="40" t="str">
        <f t="shared" si="16"/>
        <v>Low</v>
      </c>
      <c r="Y68" s="40" t="s">
        <v>618</v>
      </c>
      <c r="Z68" s="40">
        <f t="shared" si="17"/>
        <v>-0.11560381636190896</v>
      </c>
      <c r="AA68" s="40">
        <f t="shared" si="18"/>
        <v>1.0735687702045416E-3</v>
      </c>
      <c r="AB68" s="40">
        <f t="shared" si="19"/>
        <v>2.7818979132582662E-4</v>
      </c>
      <c r="AC68" s="40">
        <f t="shared" si="20"/>
        <v>1.3517585615303682E-3</v>
      </c>
      <c r="AD68" s="40" t="s">
        <v>623</v>
      </c>
      <c r="AF68" s="40" t="s">
        <v>627</v>
      </c>
    </row>
    <row r="69" spans="1:32" s="40" customFormat="1" ht="15.75" x14ac:dyDescent="0.2">
      <c r="A69" s="40">
        <v>68</v>
      </c>
      <c r="B69" s="40">
        <v>13</v>
      </c>
      <c r="C69" s="40" t="s">
        <v>615</v>
      </c>
      <c r="D69" s="40" t="s">
        <v>616</v>
      </c>
      <c r="E69" s="40" t="s">
        <v>617</v>
      </c>
      <c r="F69" s="40" t="s">
        <v>598</v>
      </c>
      <c r="G69" s="40" t="s">
        <v>593</v>
      </c>
      <c r="H69" s="40" t="s">
        <v>625</v>
      </c>
      <c r="I69" s="40" t="s">
        <v>222</v>
      </c>
      <c r="J69" s="40">
        <v>13</v>
      </c>
      <c r="K69" s="40" t="s">
        <v>626</v>
      </c>
      <c r="L69" s="40">
        <v>4</v>
      </c>
      <c r="M69" s="40">
        <v>78.879480000000001</v>
      </c>
      <c r="O69" s="40">
        <v>5.2829899999999981</v>
      </c>
      <c r="P69" s="40">
        <v>4</v>
      </c>
      <c r="Q69" s="40">
        <v>96.78295</v>
      </c>
      <c r="S69" s="40">
        <v>3.2284899999999936</v>
      </c>
      <c r="T69" s="40">
        <v>4</v>
      </c>
      <c r="U69" s="40" t="s">
        <v>620</v>
      </c>
      <c r="V69" s="40">
        <v>250</v>
      </c>
      <c r="W69" s="40">
        <f t="shared" ref="W69:W75" si="21">V69/1000</f>
        <v>0.25</v>
      </c>
      <c r="X69" s="40" t="str">
        <f t="shared" si="16"/>
        <v>Low</v>
      </c>
      <c r="Y69" s="40" t="s">
        <v>618</v>
      </c>
      <c r="Z69" s="40">
        <f t="shared" si="17"/>
        <v>-0.20454972442450248</v>
      </c>
      <c r="AA69" s="40">
        <f t="shared" si="18"/>
        <v>1.1214282908416689E-3</v>
      </c>
      <c r="AB69" s="40">
        <f t="shared" si="19"/>
        <v>2.7818979132582662E-4</v>
      </c>
      <c r="AC69" s="40">
        <f t="shared" si="20"/>
        <v>1.3996180821674955E-3</v>
      </c>
      <c r="AD69" s="40" t="s">
        <v>623</v>
      </c>
      <c r="AF69" s="40" t="s">
        <v>627</v>
      </c>
    </row>
    <row r="70" spans="1:32" s="40" customFormat="1" ht="15.75" x14ac:dyDescent="0.2">
      <c r="A70" s="40">
        <v>69</v>
      </c>
      <c r="B70" s="40">
        <v>13</v>
      </c>
      <c r="C70" s="40" t="s">
        <v>615</v>
      </c>
      <c r="D70" s="40" t="s">
        <v>616</v>
      </c>
      <c r="E70" s="40" t="s">
        <v>617</v>
      </c>
      <c r="F70" s="40" t="s">
        <v>598</v>
      </c>
      <c r="G70" s="40" t="s">
        <v>593</v>
      </c>
      <c r="H70" s="40" t="s">
        <v>625</v>
      </c>
      <c r="I70" s="40" t="s">
        <v>222</v>
      </c>
      <c r="J70" s="40">
        <v>13</v>
      </c>
      <c r="K70" s="40" t="s">
        <v>626</v>
      </c>
      <c r="L70" s="40">
        <v>4</v>
      </c>
      <c r="M70" s="40">
        <v>69.560869999999994</v>
      </c>
      <c r="O70" s="40">
        <v>4.1089900000000057</v>
      </c>
      <c r="P70" s="40">
        <v>4</v>
      </c>
      <c r="Q70" s="40">
        <v>96.78295</v>
      </c>
      <c r="S70" s="40">
        <v>3.2284899999999936</v>
      </c>
      <c r="T70" s="40">
        <v>4</v>
      </c>
      <c r="U70" s="40" t="s">
        <v>621</v>
      </c>
      <c r="V70" s="40">
        <v>500</v>
      </c>
      <c r="W70" s="40">
        <f t="shared" si="21"/>
        <v>0.5</v>
      </c>
      <c r="X70" s="40" t="str">
        <f t="shared" si="16"/>
        <v>Low</v>
      </c>
      <c r="Y70" s="40" t="s">
        <v>618</v>
      </c>
      <c r="Z70" s="40">
        <f t="shared" si="17"/>
        <v>-0.33026864580915677</v>
      </c>
      <c r="AA70" s="40">
        <f t="shared" si="18"/>
        <v>8.7232871191796253E-4</v>
      </c>
      <c r="AB70" s="40">
        <f t="shared" si="19"/>
        <v>2.7818979132582662E-4</v>
      </c>
      <c r="AC70" s="40">
        <f t="shared" si="20"/>
        <v>1.1505185032437892E-3</v>
      </c>
      <c r="AD70" s="40" t="s">
        <v>623</v>
      </c>
      <c r="AF70" s="40" t="s">
        <v>627</v>
      </c>
    </row>
    <row r="71" spans="1:32" s="40" customFormat="1" ht="15.75" x14ac:dyDescent="0.2">
      <c r="A71" s="40">
        <v>70</v>
      </c>
      <c r="B71" s="40">
        <v>13</v>
      </c>
      <c r="C71" s="40" t="s">
        <v>615</v>
      </c>
      <c r="D71" s="40" t="s">
        <v>616</v>
      </c>
      <c r="E71" s="40" t="s">
        <v>617</v>
      </c>
      <c r="F71" s="40" t="s">
        <v>598</v>
      </c>
      <c r="G71" s="40" t="s">
        <v>593</v>
      </c>
      <c r="H71" s="40" t="s">
        <v>625</v>
      </c>
      <c r="I71" s="40" t="s">
        <v>222</v>
      </c>
      <c r="J71" s="40">
        <v>13</v>
      </c>
      <c r="K71" s="40" t="s">
        <v>626</v>
      </c>
      <c r="L71" s="40">
        <v>4</v>
      </c>
      <c r="M71" s="40">
        <v>50.116529999999997</v>
      </c>
      <c r="O71" s="40">
        <v>8.5114800000000059</v>
      </c>
      <c r="P71" s="40">
        <v>4</v>
      </c>
      <c r="Q71" s="40">
        <v>96.78295</v>
      </c>
      <c r="S71" s="40">
        <v>3.2284899999999936</v>
      </c>
      <c r="T71" s="40">
        <v>4</v>
      </c>
      <c r="U71" s="40" t="s">
        <v>622</v>
      </c>
      <c r="V71" s="40">
        <v>1000</v>
      </c>
      <c r="W71" s="40">
        <f t="shared" si="21"/>
        <v>1</v>
      </c>
      <c r="X71" s="40" t="str">
        <f t="shared" si="16"/>
        <v>Low</v>
      </c>
      <c r="Y71" s="40" t="s">
        <v>618</v>
      </c>
      <c r="Z71" s="40">
        <f t="shared" si="17"/>
        <v>-0.65811994861275613</v>
      </c>
      <c r="AA71" s="40">
        <f t="shared" si="18"/>
        <v>7.2108786641074812E-3</v>
      </c>
      <c r="AB71" s="40">
        <f t="shared" si="19"/>
        <v>2.7818979132582662E-4</v>
      </c>
      <c r="AC71" s="40">
        <f t="shared" si="20"/>
        <v>7.489068455433308E-3</v>
      </c>
      <c r="AD71" s="40" t="s">
        <v>623</v>
      </c>
      <c r="AF71" s="40" t="s">
        <v>627</v>
      </c>
    </row>
    <row r="72" spans="1:32" s="40" customFormat="1" ht="15.75" x14ac:dyDescent="0.2">
      <c r="A72" s="40">
        <v>71</v>
      </c>
      <c r="B72" s="40">
        <v>13</v>
      </c>
      <c r="C72" s="40" t="s">
        <v>615</v>
      </c>
      <c r="D72" s="40" t="s">
        <v>616</v>
      </c>
      <c r="E72" s="40" t="s">
        <v>617</v>
      </c>
      <c r="F72" s="40" t="s">
        <v>598</v>
      </c>
      <c r="G72" s="40" t="s">
        <v>593</v>
      </c>
      <c r="H72" s="40" t="s">
        <v>625</v>
      </c>
      <c r="I72" s="40" t="s">
        <v>222</v>
      </c>
      <c r="J72" s="40">
        <v>13</v>
      </c>
      <c r="K72" s="40" t="s">
        <v>626</v>
      </c>
      <c r="L72" s="40">
        <v>4</v>
      </c>
      <c r="M72" s="40">
        <v>90.651929999999993</v>
      </c>
      <c r="O72" s="40">
        <v>4.3367900000000077</v>
      </c>
      <c r="P72" s="40">
        <v>4</v>
      </c>
      <c r="Q72" s="40">
        <v>100.10755</v>
      </c>
      <c r="S72" s="40">
        <v>0</v>
      </c>
      <c r="T72" s="40">
        <v>4</v>
      </c>
      <c r="U72" s="40" t="s">
        <v>619</v>
      </c>
      <c r="V72" s="40">
        <v>150</v>
      </c>
      <c r="W72" s="40">
        <f t="shared" si="21"/>
        <v>0.15</v>
      </c>
      <c r="X72" s="40" t="str">
        <f t="shared" si="16"/>
        <v>Low</v>
      </c>
      <c r="Y72" s="40" t="s">
        <v>618</v>
      </c>
      <c r="Z72" s="40">
        <f t="shared" si="17"/>
        <v>-9.9217880399659023E-2</v>
      </c>
      <c r="AA72" s="40">
        <f t="shared" si="18"/>
        <v>5.7216684034036428E-4</v>
      </c>
      <c r="AB72" s="40">
        <f>(S72^2)/(P72*Q72^2)</f>
        <v>0</v>
      </c>
      <c r="AC72" s="40">
        <f t="shared" si="20"/>
        <v>5.7216684034036428E-4</v>
      </c>
      <c r="AD72" s="40" t="s">
        <v>623</v>
      </c>
      <c r="AF72" s="40" t="s">
        <v>627</v>
      </c>
    </row>
    <row r="73" spans="1:32" s="40" customFormat="1" ht="15.75" x14ac:dyDescent="0.2">
      <c r="A73" s="40">
        <v>72</v>
      </c>
      <c r="B73" s="40">
        <v>13</v>
      </c>
      <c r="C73" s="40" t="s">
        <v>615</v>
      </c>
      <c r="D73" s="40" t="s">
        <v>616</v>
      </c>
      <c r="E73" s="40" t="s">
        <v>617</v>
      </c>
      <c r="F73" s="40" t="s">
        <v>598</v>
      </c>
      <c r="G73" s="40" t="s">
        <v>593</v>
      </c>
      <c r="H73" s="40" t="s">
        <v>625</v>
      </c>
      <c r="I73" s="40" t="s">
        <v>222</v>
      </c>
      <c r="J73" s="40">
        <v>13</v>
      </c>
      <c r="K73" s="40" t="s">
        <v>626</v>
      </c>
      <c r="L73" s="40">
        <v>4</v>
      </c>
      <c r="M73" s="40">
        <v>89.514409999999998</v>
      </c>
      <c r="O73" s="40">
        <v>7.4649600000000049</v>
      </c>
      <c r="P73" s="40">
        <v>4</v>
      </c>
      <c r="Q73" s="40">
        <v>100.10755</v>
      </c>
      <c r="S73" s="40">
        <v>0</v>
      </c>
      <c r="T73" s="40">
        <v>4</v>
      </c>
      <c r="U73" s="40" t="s">
        <v>620</v>
      </c>
      <c r="V73" s="40">
        <v>250</v>
      </c>
      <c r="W73" s="40">
        <f t="shared" si="21"/>
        <v>0.25</v>
      </c>
      <c r="X73" s="40" t="str">
        <f t="shared" si="16"/>
        <v>Low</v>
      </c>
      <c r="Y73" s="40" t="s">
        <v>618</v>
      </c>
      <c r="Z73" s="40">
        <f t="shared" si="17"/>
        <v>-0.11184549014491582</v>
      </c>
      <c r="AA73" s="40">
        <f t="shared" si="18"/>
        <v>1.7386376161660946E-3</v>
      </c>
      <c r="AB73" s="40">
        <f t="shared" si="19"/>
        <v>0</v>
      </c>
      <c r="AC73" s="40">
        <f t="shared" si="20"/>
        <v>1.7386376161660946E-3</v>
      </c>
      <c r="AD73" s="40" t="s">
        <v>623</v>
      </c>
      <c r="AF73" s="40" t="s">
        <v>627</v>
      </c>
    </row>
    <row r="74" spans="1:32" s="40" customFormat="1" ht="15.75" x14ac:dyDescent="0.2">
      <c r="A74" s="40">
        <v>73</v>
      </c>
      <c r="B74" s="40">
        <v>13</v>
      </c>
      <c r="C74" s="40" t="s">
        <v>615</v>
      </c>
      <c r="D74" s="40" t="s">
        <v>616</v>
      </c>
      <c r="E74" s="40" t="s">
        <v>617</v>
      </c>
      <c r="F74" s="40" t="s">
        <v>598</v>
      </c>
      <c r="G74" s="40" t="s">
        <v>593</v>
      </c>
      <c r="H74" s="40" t="s">
        <v>625</v>
      </c>
      <c r="I74" s="40" t="s">
        <v>222</v>
      </c>
      <c r="J74" s="40">
        <v>13</v>
      </c>
      <c r="K74" s="40" t="s">
        <v>626</v>
      </c>
      <c r="L74" s="40">
        <v>4</v>
      </c>
      <c r="M74" s="40">
        <v>91.433980000000005</v>
      </c>
      <c r="O74" s="40">
        <v>6.6829099999999926</v>
      </c>
      <c r="P74" s="40">
        <v>4</v>
      </c>
      <c r="Q74" s="40">
        <v>100.10755</v>
      </c>
      <c r="S74" s="40">
        <v>0</v>
      </c>
      <c r="T74" s="40">
        <v>4</v>
      </c>
      <c r="U74" s="40" t="s">
        <v>621</v>
      </c>
      <c r="V74" s="40">
        <v>500</v>
      </c>
      <c r="W74" s="40">
        <f t="shared" si="21"/>
        <v>0.5</v>
      </c>
      <c r="X74" s="40" t="str">
        <f t="shared" si="16"/>
        <v>Low</v>
      </c>
      <c r="Y74" s="40" t="s">
        <v>618</v>
      </c>
      <c r="Z74" s="40">
        <f t="shared" si="17"/>
        <v>-9.0627926253566957E-2</v>
      </c>
      <c r="AA74" s="40">
        <f t="shared" si="18"/>
        <v>1.3355371855943562E-3</v>
      </c>
      <c r="AB74" s="40">
        <f t="shared" si="19"/>
        <v>0</v>
      </c>
      <c r="AC74" s="40">
        <f t="shared" si="20"/>
        <v>1.3355371855943562E-3</v>
      </c>
      <c r="AD74" s="40" t="s">
        <v>623</v>
      </c>
      <c r="AF74" s="40" t="s">
        <v>627</v>
      </c>
    </row>
    <row r="75" spans="1:32" s="40" customFormat="1" ht="15.75" x14ac:dyDescent="0.2">
      <c r="A75" s="40">
        <v>74</v>
      </c>
      <c r="B75" s="40">
        <v>13</v>
      </c>
      <c r="C75" s="40" t="s">
        <v>615</v>
      </c>
      <c r="D75" s="40" t="s">
        <v>616</v>
      </c>
      <c r="E75" s="40" t="s">
        <v>617</v>
      </c>
      <c r="F75" s="40" t="s">
        <v>598</v>
      </c>
      <c r="G75" s="40" t="s">
        <v>593</v>
      </c>
      <c r="H75" s="40" t="s">
        <v>625</v>
      </c>
      <c r="I75" s="40" t="s">
        <v>222</v>
      </c>
      <c r="J75" s="40">
        <v>13</v>
      </c>
      <c r="K75" s="40" t="s">
        <v>626</v>
      </c>
      <c r="L75" s="40">
        <v>4</v>
      </c>
      <c r="M75" s="40">
        <v>94.206670000000003</v>
      </c>
      <c r="O75" s="40">
        <v>3.5547499999999985</v>
      </c>
      <c r="P75" s="40">
        <v>4</v>
      </c>
      <c r="Q75" s="40">
        <v>100.10755</v>
      </c>
      <c r="S75" s="40">
        <v>0</v>
      </c>
      <c r="T75" s="40">
        <v>4</v>
      </c>
      <c r="U75" s="40" t="s">
        <v>622</v>
      </c>
      <c r="V75" s="40">
        <v>1000</v>
      </c>
      <c r="W75" s="40">
        <f t="shared" si="21"/>
        <v>1</v>
      </c>
      <c r="X75" s="40" t="str">
        <f t="shared" si="16"/>
        <v>Low</v>
      </c>
      <c r="Y75" s="40" t="s">
        <v>618</v>
      </c>
      <c r="Z75" s="40">
        <f t="shared" si="17"/>
        <v>-6.0754122182619393E-2</v>
      </c>
      <c r="AA75" s="40">
        <f t="shared" si="18"/>
        <v>3.5595477977988239E-4</v>
      </c>
      <c r="AB75" s="40">
        <f t="shared" si="19"/>
        <v>0</v>
      </c>
      <c r="AC75" s="40">
        <f t="shared" si="20"/>
        <v>3.5595477977988239E-4</v>
      </c>
      <c r="AD75" s="40" t="s">
        <v>623</v>
      </c>
      <c r="AF75" s="40" t="s">
        <v>627</v>
      </c>
    </row>
    <row r="78" spans="1:32" x14ac:dyDescent="0.2">
      <c r="U78" s="44"/>
      <c r="V78" s="44"/>
      <c r="W78" s="44"/>
      <c r="X78" s="44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"/>
  <sheetViews>
    <sheetView zoomScale="85" zoomScaleNormal="85" workbookViewId="0">
      <pane ySplit="1" topLeftCell="A2" activePane="bottomLeft" state="frozen"/>
      <selection pane="bottomLeft" activeCell="A2" sqref="A2:XFD5"/>
    </sheetView>
  </sheetViews>
  <sheetFormatPr defaultRowHeight="14.25" x14ac:dyDescent="0.2"/>
  <cols>
    <col min="23" max="23" width="10" bestFit="1" customWidth="1"/>
    <col min="24" max="24" width="10" customWidth="1"/>
  </cols>
  <sheetData>
    <row r="1" spans="1:34 14954:16384" s="2" customFormat="1" ht="1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58</v>
      </c>
      <c r="F1" s="1" t="s">
        <v>660</v>
      </c>
      <c r="G1" s="1" t="s">
        <v>68</v>
      </c>
      <c r="H1" s="1" t="s">
        <v>92</v>
      </c>
      <c r="I1" s="1" t="s">
        <v>40</v>
      </c>
      <c r="J1" s="1" t="s">
        <v>41</v>
      </c>
      <c r="K1" s="1" t="s">
        <v>126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/>
      <c r="W1" s="1" t="s">
        <v>711</v>
      </c>
      <c r="X1" s="1" t="s">
        <v>722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59</v>
      </c>
      <c r="AF1" s="1" t="s">
        <v>61</v>
      </c>
      <c r="AG1"/>
      <c r="AH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34 14954:16384" s="5" customFormat="1" ht="15" customHeight="1" x14ac:dyDescent="0.2">
      <c r="A2" s="5">
        <v>1</v>
      </c>
      <c r="B2" s="5">
        <v>1</v>
      </c>
      <c r="C2" s="5" t="s">
        <v>3</v>
      </c>
      <c r="D2" s="5" t="s">
        <v>98</v>
      </c>
      <c r="E2" s="5" t="s">
        <v>99</v>
      </c>
      <c r="F2" s="5" t="s">
        <v>64</v>
      </c>
      <c r="G2" s="5" t="s">
        <v>73</v>
      </c>
      <c r="H2" s="5" t="s">
        <v>93</v>
      </c>
      <c r="I2" s="5" t="s">
        <v>144</v>
      </c>
      <c r="J2" s="5">
        <v>1</v>
      </c>
      <c r="K2" s="5" t="s">
        <v>777</v>
      </c>
      <c r="L2" s="5">
        <v>5</v>
      </c>
      <c r="M2" s="5">
        <v>43.851500000000001</v>
      </c>
      <c r="N2" s="5">
        <v>13.047229999999999</v>
      </c>
      <c r="O2" s="5">
        <f xml:space="preserve"> N2*SQRT(L2)</f>
        <v>29.174493198074579</v>
      </c>
      <c r="P2" s="5">
        <v>5</v>
      </c>
      <c r="Q2" s="5">
        <v>70.742279999999994</v>
      </c>
      <c r="R2" s="5">
        <v>9.0044299999999993</v>
      </c>
      <c r="S2" s="5">
        <f xml:space="preserve"> R2*SQRT(P2)</f>
        <v>20.13451757863843</v>
      </c>
      <c r="T2" s="5">
        <v>5</v>
      </c>
      <c r="U2" s="5" t="s">
        <v>101</v>
      </c>
      <c r="V2" s="5">
        <v>0.1</v>
      </c>
      <c r="W2" s="5">
        <f>V2 * 1</f>
        <v>0.1</v>
      </c>
      <c r="X2" s="5" t="str">
        <f>IF(W2&lt;=1, "Low", IF(W2&lt;10, "Medium", "High"))</f>
        <v>Low</v>
      </c>
      <c r="Y2" s="5" t="s">
        <v>112</v>
      </c>
      <c r="Z2" s="5">
        <f>LN(M2/Q2)</f>
        <v>-0.4782344882031393</v>
      </c>
      <c r="AA2" s="5">
        <f>(O2^2)/(L2*M2^2)</f>
        <v>8.8525365686048449E-2</v>
      </c>
      <c r="AB2" s="5">
        <f>(S2^2)/(P2*Q2^2)</f>
        <v>1.6201467231323676E-2</v>
      </c>
      <c r="AC2" s="5">
        <f>SUM(AA2,AB2)</f>
        <v>0.10472683291737213</v>
      </c>
      <c r="AD2" s="5" t="s">
        <v>100</v>
      </c>
    </row>
    <row r="3" spans="1:34 14954:16384" s="5" customFormat="1" ht="15.75" x14ac:dyDescent="0.2">
      <c r="A3" s="5">
        <v>2</v>
      </c>
      <c r="B3" s="5">
        <v>1</v>
      </c>
      <c r="C3" s="5" t="s">
        <v>3</v>
      </c>
      <c r="D3" s="5" t="s">
        <v>98</v>
      </c>
      <c r="E3" s="5" t="s">
        <v>99</v>
      </c>
      <c r="F3" s="5" t="s">
        <v>64</v>
      </c>
      <c r="G3" s="5" t="s">
        <v>73</v>
      </c>
      <c r="H3" s="5" t="s">
        <v>93</v>
      </c>
      <c r="I3" s="5" t="s">
        <v>144</v>
      </c>
      <c r="J3" s="5">
        <v>1</v>
      </c>
      <c r="K3" s="5" t="s">
        <v>777</v>
      </c>
      <c r="L3" s="5">
        <v>5</v>
      </c>
      <c r="M3" s="5">
        <v>37.971049999999998</v>
      </c>
      <c r="N3" s="5">
        <v>7.1361699999999999</v>
      </c>
      <c r="O3" s="5">
        <f t="shared" ref="O3:O9" si="0" xml:space="preserve"> N3*SQRT(L3)</f>
        <v>15.956961218994675</v>
      </c>
      <c r="P3" s="5">
        <v>5</v>
      </c>
      <c r="Q3" s="5">
        <v>70.742279999999994</v>
      </c>
      <c r="R3" s="5">
        <v>9.0044299999999993</v>
      </c>
      <c r="S3" s="5">
        <f t="shared" ref="S3:S9" si="1" xml:space="preserve"> R3*SQRT(P3)</f>
        <v>20.13451757863843</v>
      </c>
      <c r="T3" s="5">
        <v>5</v>
      </c>
      <c r="U3" s="5" t="s">
        <v>102</v>
      </c>
      <c r="V3" s="5">
        <v>1</v>
      </c>
      <c r="W3" s="5">
        <f>V3 * 1</f>
        <v>1</v>
      </c>
      <c r="X3" s="5" t="str">
        <f t="shared" ref="X3:X22" si="2">IF(W3&lt;=1, "Low", IF(W3&lt;10, "Medium", "High"))</f>
        <v>Low</v>
      </c>
      <c r="Y3" s="5" t="s">
        <v>112</v>
      </c>
      <c r="Z3" s="5">
        <f t="shared" ref="Z3:Z22" si="3">LN(M3/Q3)</f>
        <v>-0.62221938668997323</v>
      </c>
      <c r="AA3" s="5">
        <f t="shared" ref="AA3:AA22" si="4">(O3^2)/(L3*M3^2)</f>
        <v>3.5320363247945567E-2</v>
      </c>
      <c r="AB3" s="5">
        <f t="shared" ref="AB3:AB22" si="5">(S3^2)/(P3*Q3^2)</f>
        <v>1.6201467231323676E-2</v>
      </c>
      <c r="AC3" s="5">
        <f t="shared" ref="AC3:AC22" si="6">SUM(AA3,AB3)</f>
        <v>5.152183047926924E-2</v>
      </c>
      <c r="AD3" s="5" t="s">
        <v>100</v>
      </c>
    </row>
    <row r="4" spans="1:34 14954:16384" s="5" customFormat="1" ht="15.75" x14ac:dyDescent="0.2">
      <c r="A4" s="5">
        <v>3</v>
      </c>
      <c r="B4" s="5">
        <v>1</v>
      </c>
      <c r="C4" s="5" t="s">
        <v>3</v>
      </c>
      <c r="D4" s="5" t="s">
        <v>98</v>
      </c>
      <c r="E4" s="5" t="s">
        <v>99</v>
      </c>
      <c r="F4" s="5" t="s">
        <v>64</v>
      </c>
      <c r="G4" s="5" t="s">
        <v>73</v>
      </c>
      <c r="H4" s="5" t="s">
        <v>93</v>
      </c>
      <c r="I4" s="5" t="s">
        <v>144</v>
      </c>
      <c r="J4" s="5">
        <v>1</v>
      </c>
      <c r="K4" s="5" t="s">
        <v>777</v>
      </c>
      <c r="L4" s="5">
        <v>5</v>
      </c>
      <c r="M4" s="5">
        <v>44.954079999999998</v>
      </c>
      <c r="N4" s="5">
        <v>8.5450200000000009</v>
      </c>
      <c r="O4" s="5">
        <f t="shared" si="0"/>
        <v>19.107245589095257</v>
      </c>
      <c r="P4" s="5">
        <v>5</v>
      </c>
      <c r="Q4" s="5">
        <v>70.742279999999994</v>
      </c>
      <c r="R4" s="5">
        <v>9.0044299999999993</v>
      </c>
      <c r="S4" s="5">
        <f t="shared" si="1"/>
        <v>20.13451757863843</v>
      </c>
      <c r="T4" s="5">
        <v>5</v>
      </c>
      <c r="U4" s="5" t="s">
        <v>103</v>
      </c>
      <c r="V4" s="5">
        <v>10</v>
      </c>
      <c r="W4" s="5">
        <f>V4 * 1</f>
        <v>10</v>
      </c>
      <c r="X4" s="5" t="str">
        <f t="shared" si="2"/>
        <v>High</v>
      </c>
      <c r="Y4" s="5" t="s">
        <v>112</v>
      </c>
      <c r="Z4" s="5">
        <f t="shared" si="3"/>
        <v>-0.45340188964394967</v>
      </c>
      <c r="AA4" s="5">
        <f t="shared" si="4"/>
        <v>3.6131661997137188E-2</v>
      </c>
      <c r="AB4" s="5">
        <f t="shared" si="5"/>
        <v>1.6201467231323676E-2</v>
      </c>
      <c r="AC4" s="5">
        <f t="shared" si="6"/>
        <v>5.2333129228460867E-2</v>
      </c>
      <c r="AD4" s="5" t="s">
        <v>100</v>
      </c>
    </row>
    <row r="5" spans="1:34 14954:16384" s="5" customFormat="1" ht="15.75" x14ac:dyDescent="0.2">
      <c r="A5" s="5">
        <v>4</v>
      </c>
      <c r="B5" s="5">
        <v>1</v>
      </c>
      <c r="C5" s="5" t="s">
        <v>3</v>
      </c>
      <c r="D5" s="5" t="s">
        <v>98</v>
      </c>
      <c r="E5" s="5" t="s">
        <v>99</v>
      </c>
      <c r="F5" s="5" t="s">
        <v>64</v>
      </c>
      <c r="G5" s="5" t="s">
        <v>73</v>
      </c>
      <c r="H5" s="5" t="s">
        <v>93</v>
      </c>
      <c r="I5" s="5" t="s">
        <v>144</v>
      </c>
      <c r="J5" s="5">
        <v>1</v>
      </c>
      <c r="K5" s="5" t="s">
        <v>777</v>
      </c>
      <c r="L5" s="5">
        <v>5</v>
      </c>
      <c r="M5" s="5">
        <v>39.502420000000001</v>
      </c>
      <c r="N5" s="5">
        <v>4.6859800000000007</v>
      </c>
      <c r="O5" s="5">
        <f t="shared" si="0"/>
        <v>10.478169821204467</v>
      </c>
      <c r="P5" s="5">
        <v>5</v>
      </c>
      <c r="Q5" s="5">
        <v>70.742279999999994</v>
      </c>
      <c r="R5" s="5">
        <v>9.0044299999999993</v>
      </c>
      <c r="S5" s="5">
        <f t="shared" si="1"/>
        <v>20.13451757863843</v>
      </c>
      <c r="T5" s="5">
        <v>5</v>
      </c>
      <c r="U5" s="5" t="s">
        <v>104</v>
      </c>
      <c r="V5" s="5">
        <v>20</v>
      </c>
      <c r="W5" s="5">
        <f>V5 * 1</f>
        <v>20</v>
      </c>
      <c r="X5" s="5" t="str">
        <f t="shared" si="2"/>
        <v>High</v>
      </c>
      <c r="Y5" s="5" t="s">
        <v>112</v>
      </c>
      <c r="Z5" s="5">
        <f t="shared" si="3"/>
        <v>-0.58268147810873583</v>
      </c>
      <c r="AA5" s="5">
        <f t="shared" si="4"/>
        <v>1.4071923222373045E-2</v>
      </c>
      <c r="AB5" s="5">
        <f t="shared" si="5"/>
        <v>1.6201467231323676E-2</v>
      </c>
      <c r="AC5" s="5">
        <f t="shared" si="6"/>
        <v>3.0273390453696723E-2</v>
      </c>
      <c r="AD5" s="5" t="s">
        <v>100</v>
      </c>
    </row>
    <row r="6" spans="1:34 14954:16384" s="6" customFormat="1" ht="15.75" x14ac:dyDescent="0.2">
      <c r="A6" s="6">
        <v>5</v>
      </c>
      <c r="B6" s="6">
        <v>2</v>
      </c>
      <c r="C6" s="6" t="s">
        <v>4</v>
      </c>
      <c r="D6" s="6" t="s">
        <v>98</v>
      </c>
      <c r="E6" s="6" t="s">
        <v>115</v>
      </c>
      <c r="F6" s="6" t="s">
        <v>64</v>
      </c>
      <c r="G6" s="6" t="s">
        <v>73</v>
      </c>
      <c r="H6" s="6" t="s">
        <v>93</v>
      </c>
      <c r="I6" s="6" t="s">
        <v>144</v>
      </c>
      <c r="J6" s="6">
        <v>2</v>
      </c>
      <c r="K6" s="6" t="s">
        <v>777</v>
      </c>
      <c r="L6" s="6">
        <v>5</v>
      </c>
      <c r="M6" s="6">
        <v>14.626530000000001</v>
      </c>
      <c r="N6" s="6">
        <v>1.3434899999999992</v>
      </c>
      <c r="O6" s="6">
        <f t="shared" si="0"/>
        <v>3.0041349670911908</v>
      </c>
      <c r="P6" s="6">
        <v>5</v>
      </c>
      <c r="Q6" s="6">
        <v>20.130510000000001</v>
      </c>
      <c r="R6" s="6">
        <v>1.4012799999999999</v>
      </c>
      <c r="S6" s="6">
        <f t="shared" si="1"/>
        <v>3.133357335510905</v>
      </c>
      <c r="T6" s="6">
        <v>5</v>
      </c>
      <c r="U6" s="6" t="s">
        <v>720</v>
      </c>
      <c r="V6" s="6">
        <v>50</v>
      </c>
      <c r="W6" s="6">
        <f>V6 * 10^(-6)</f>
        <v>4.9999999999999996E-5</v>
      </c>
      <c r="X6" s="6" t="str">
        <f t="shared" si="2"/>
        <v>Low</v>
      </c>
      <c r="Y6" s="6" t="s">
        <v>113</v>
      </c>
      <c r="Z6" s="6">
        <f t="shared" si="3"/>
        <v>-0.31939957162045574</v>
      </c>
      <c r="AA6" s="6">
        <f t="shared" si="4"/>
        <v>8.4369653184167993E-3</v>
      </c>
      <c r="AB6" s="6">
        <f t="shared" si="5"/>
        <v>4.8455188962710843E-3</v>
      </c>
      <c r="AC6" s="6">
        <f t="shared" si="6"/>
        <v>1.3282484214687883E-2</v>
      </c>
      <c r="AD6" s="6" t="s">
        <v>114</v>
      </c>
      <c r="AF6" s="6" t="s">
        <v>118</v>
      </c>
    </row>
    <row r="7" spans="1:34 14954:16384" s="8" customFormat="1" ht="15.75" x14ac:dyDescent="0.2">
      <c r="A7" s="8">
        <v>6</v>
      </c>
      <c r="B7" s="8">
        <v>3</v>
      </c>
      <c r="C7" s="8" t="s">
        <v>130</v>
      </c>
      <c r="D7" s="8" t="s">
        <v>145</v>
      </c>
      <c r="E7" s="8" t="s">
        <v>132</v>
      </c>
      <c r="F7" s="8" t="s">
        <v>133</v>
      </c>
      <c r="G7" s="8" t="s">
        <v>141</v>
      </c>
      <c r="H7" s="8" t="s">
        <v>140</v>
      </c>
      <c r="I7" s="8" t="s">
        <v>146</v>
      </c>
      <c r="J7" s="8">
        <v>3</v>
      </c>
      <c r="K7" s="8" t="s">
        <v>159</v>
      </c>
      <c r="L7" s="8">
        <v>5</v>
      </c>
      <c r="M7" s="8">
        <v>48.02758</v>
      </c>
      <c r="N7" s="8">
        <v>11.102960000000003</v>
      </c>
      <c r="O7" s="8">
        <f t="shared" si="0"/>
        <v>24.826973311461074</v>
      </c>
      <c r="P7" s="8">
        <v>5</v>
      </c>
      <c r="Q7" s="8">
        <v>65.756500000000003</v>
      </c>
      <c r="R7" s="8">
        <v>25.071209999999994</v>
      </c>
      <c r="S7" s="8">
        <f t="shared" si="1"/>
        <v>56.060929838172491</v>
      </c>
      <c r="T7" s="8">
        <v>5</v>
      </c>
      <c r="U7" s="8" t="s">
        <v>136</v>
      </c>
      <c r="V7" s="8">
        <v>1</v>
      </c>
      <c r="W7" s="8">
        <f>V7 * 1</f>
        <v>1</v>
      </c>
      <c r="X7" s="8" t="str">
        <f t="shared" si="2"/>
        <v>Low</v>
      </c>
      <c r="Y7" s="8" t="s">
        <v>147</v>
      </c>
      <c r="Z7" s="8">
        <f t="shared" si="3"/>
        <v>-0.31418309625577756</v>
      </c>
      <c r="AA7" s="8">
        <f t="shared" si="4"/>
        <v>5.3443653826380097E-2</v>
      </c>
      <c r="AB7" s="8">
        <f t="shared" si="5"/>
        <v>0.14536947133348577</v>
      </c>
      <c r="AC7" s="8">
        <f t="shared" si="6"/>
        <v>0.19881312515986588</v>
      </c>
      <c r="AD7" s="8" t="s">
        <v>148</v>
      </c>
    </row>
    <row r="8" spans="1:34 14954:16384" s="8" customFormat="1" ht="15.75" x14ac:dyDescent="0.2">
      <c r="A8" s="8">
        <v>7</v>
      </c>
      <c r="B8" s="8">
        <v>3</v>
      </c>
      <c r="C8" s="8" t="s">
        <v>130</v>
      </c>
      <c r="D8" s="8" t="s">
        <v>145</v>
      </c>
      <c r="E8" s="8" t="s">
        <v>132</v>
      </c>
      <c r="F8" s="8" t="s">
        <v>133</v>
      </c>
      <c r="G8" s="8" t="s">
        <v>141</v>
      </c>
      <c r="H8" s="8" t="s">
        <v>140</v>
      </c>
      <c r="I8" s="8" t="s">
        <v>146</v>
      </c>
      <c r="J8" s="8">
        <v>3</v>
      </c>
      <c r="K8" s="8" t="s">
        <v>159</v>
      </c>
      <c r="L8" s="8">
        <v>5</v>
      </c>
      <c r="M8" s="8">
        <v>46.953099999999999</v>
      </c>
      <c r="N8" s="8">
        <v>9.0435400000000001</v>
      </c>
      <c r="O8" s="8">
        <f t="shared" si="0"/>
        <v>20.221970197238448</v>
      </c>
      <c r="P8" s="8">
        <v>5</v>
      </c>
      <c r="Q8" s="8">
        <v>65.756500000000003</v>
      </c>
      <c r="R8" s="8">
        <v>25.071209999999994</v>
      </c>
      <c r="S8" s="8">
        <f t="shared" si="1"/>
        <v>56.060929838172491</v>
      </c>
      <c r="T8" s="8">
        <v>5</v>
      </c>
      <c r="U8" s="8" t="s">
        <v>137</v>
      </c>
      <c r="V8" s="8">
        <v>10</v>
      </c>
      <c r="W8" s="8">
        <f>V8 * 1</f>
        <v>10</v>
      </c>
      <c r="X8" s="8" t="str">
        <f t="shared" si="2"/>
        <v>High</v>
      </c>
      <c r="Y8" s="8" t="s">
        <v>147</v>
      </c>
      <c r="Z8" s="8">
        <f t="shared" si="3"/>
        <v>-0.33680929432363232</v>
      </c>
      <c r="AA8" s="8">
        <f t="shared" si="4"/>
        <v>3.7097819637174019E-2</v>
      </c>
      <c r="AB8" s="8">
        <f t="shared" si="5"/>
        <v>0.14536947133348577</v>
      </c>
      <c r="AC8" s="8">
        <f t="shared" si="6"/>
        <v>0.18246729097065978</v>
      </c>
      <c r="AD8" s="8" t="s">
        <v>148</v>
      </c>
    </row>
    <row r="9" spans="1:34 14954:16384" s="8" customFormat="1" ht="15.75" x14ac:dyDescent="0.2">
      <c r="A9" s="8">
        <v>8</v>
      </c>
      <c r="B9" s="8">
        <v>3</v>
      </c>
      <c r="C9" s="8" t="s">
        <v>130</v>
      </c>
      <c r="D9" s="8" t="s">
        <v>145</v>
      </c>
      <c r="E9" s="8" t="s">
        <v>132</v>
      </c>
      <c r="F9" s="8" t="s">
        <v>133</v>
      </c>
      <c r="G9" s="8" t="s">
        <v>141</v>
      </c>
      <c r="H9" s="8" t="s">
        <v>140</v>
      </c>
      <c r="I9" s="8" t="s">
        <v>146</v>
      </c>
      <c r="J9" s="8">
        <v>3</v>
      </c>
      <c r="K9" s="8" t="s">
        <v>159</v>
      </c>
      <c r="L9" s="8">
        <v>5</v>
      </c>
      <c r="M9" s="8">
        <v>32.716230000000003</v>
      </c>
      <c r="N9" s="8">
        <v>6.9841199999999972</v>
      </c>
      <c r="O9" s="8">
        <f t="shared" si="0"/>
        <v>15.616967083015826</v>
      </c>
      <c r="P9" s="8">
        <v>5</v>
      </c>
      <c r="Q9" s="8">
        <v>65.756500000000003</v>
      </c>
      <c r="R9" s="8">
        <v>25.071209999999994</v>
      </c>
      <c r="S9" s="8">
        <f t="shared" si="1"/>
        <v>56.060929838172491</v>
      </c>
      <c r="T9" s="8">
        <v>5</v>
      </c>
      <c r="U9" s="8" t="s">
        <v>138</v>
      </c>
      <c r="V9" s="8">
        <v>20</v>
      </c>
      <c r="W9" s="8">
        <f>V9 * 1</f>
        <v>20</v>
      </c>
      <c r="X9" s="8" t="str">
        <f t="shared" si="2"/>
        <v>High</v>
      </c>
      <c r="Y9" s="8" t="s">
        <v>147</v>
      </c>
      <c r="Z9" s="8">
        <f t="shared" si="3"/>
        <v>-0.69808724043989634</v>
      </c>
      <c r="AA9" s="8">
        <f t="shared" si="4"/>
        <v>4.5571873177502276E-2</v>
      </c>
      <c r="AB9" s="8">
        <f t="shared" si="5"/>
        <v>0.14536947133348577</v>
      </c>
      <c r="AC9" s="8">
        <f t="shared" si="6"/>
        <v>0.19094134451098804</v>
      </c>
      <c r="AD9" s="8" t="s">
        <v>148</v>
      </c>
    </row>
    <row r="10" spans="1:34 14954:16384" s="14" customFormat="1" ht="15.75" x14ac:dyDescent="0.2">
      <c r="A10" s="14">
        <v>9</v>
      </c>
      <c r="B10" s="14">
        <v>4</v>
      </c>
      <c r="C10" s="14" t="s">
        <v>245</v>
      </c>
      <c r="D10" s="14" t="s">
        <v>261</v>
      </c>
      <c r="E10" s="14" t="s">
        <v>249</v>
      </c>
      <c r="F10" s="14" t="s">
        <v>133</v>
      </c>
      <c r="G10" s="14" t="s">
        <v>141</v>
      </c>
      <c r="H10" s="14" t="s">
        <v>140</v>
      </c>
      <c r="I10" s="14" t="s">
        <v>146</v>
      </c>
      <c r="J10" s="14">
        <v>4</v>
      </c>
      <c r="K10" s="14" t="s">
        <v>262</v>
      </c>
      <c r="L10" s="14">
        <v>6</v>
      </c>
      <c r="M10" s="14">
        <v>395.2</v>
      </c>
      <c r="O10" s="14">
        <v>40.085650000000044</v>
      </c>
      <c r="P10" s="14">
        <v>6</v>
      </c>
      <c r="Q10" s="14">
        <v>485.245</v>
      </c>
      <c r="S10" s="14">
        <v>94.428560000000004</v>
      </c>
      <c r="T10" s="14">
        <v>6</v>
      </c>
      <c r="U10" s="14" t="s">
        <v>263</v>
      </c>
      <c r="V10" s="14">
        <v>20</v>
      </c>
      <c r="W10" s="14">
        <f xml:space="preserve"> V10 * 0.001</f>
        <v>0.02</v>
      </c>
      <c r="X10" s="14" t="str">
        <f t="shared" si="2"/>
        <v>Low</v>
      </c>
      <c r="Y10" s="14" t="s">
        <v>264</v>
      </c>
      <c r="Z10" s="14">
        <f t="shared" si="3"/>
        <v>-0.20526195215529339</v>
      </c>
      <c r="AA10" s="14">
        <f t="shared" si="4"/>
        <v>1.7147181238143226E-3</v>
      </c>
      <c r="AB10" s="14">
        <f t="shared" si="5"/>
        <v>6.3115110263297271E-3</v>
      </c>
      <c r="AC10" s="14">
        <f t="shared" si="6"/>
        <v>8.0262291501440493E-3</v>
      </c>
      <c r="AD10" s="14" t="s">
        <v>265</v>
      </c>
      <c r="AF10" s="14" t="s">
        <v>270</v>
      </c>
    </row>
    <row r="11" spans="1:34 14954:16384" s="14" customFormat="1" ht="15.75" x14ac:dyDescent="0.2">
      <c r="A11" s="14">
        <v>10</v>
      </c>
      <c r="B11" s="14">
        <v>4</v>
      </c>
      <c r="C11" s="14" t="s">
        <v>245</v>
      </c>
      <c r="D11" s="14" t="s">
        <v>261</v>
      </c>
      <c r="E11" s="14" t="s">
        <v>249</v>
      </c>
      <c r="F11" s="14" t="s">
        <v>133</v>
      </c>
      <c r="G11" s="14" t="s">
        <v>141</v>
      </c>
      <c r="H11" s="14" t="s">
        <v>140</v>
      </c>
      <c r="I11" s="14" t="s">
        <v>146</v>
      </c>
      <c r="J11" s="14">
        <v>4</v>
      </c>
      <c r="K11" s="14" t="s">
        <v>262</v>
      </c>
      <c r="L11" s="14">
        <v>6</v>
      </c>
      <c r="M11" s="14">
        <v>420.24299999999999</v>
      </c>
      <c r="O11" s="14">
        <v>67.773669999999981</v>
      </c>
      <c r="P11" s="14">
        <v>6</v>
      </c>
      <c r="Q11" s="14">
        <v>485.245</v>
      </c>
      <c r="S11" s="14">
        <v>94.428560000000004</v>
      </c>
      <c r="T11" s="14">
        <v>6</v>
      </c>
      <c r="U11" s="14" t="s">
        <v>266</v>
      </c>
      <c r="V11" s="14">
        <v>40</v>
      </c>
      <c r="W11" s="14">
        <f xml:space="preserve"> V11 * 0.001</f>
        <v>0.04</v>
      </c>
      <c r="X11" s="14" t="str">
        <f t="shared" si="2"/>
        <v>Low</v>
      </c>
      <c r="Y11" s="14" t="s">
        <v>264</v>
      </c>
      <c r="Z11" s="14">
        <f>LN(M11/Q11)</f>
        <v>-0.14382080263093969</v>
      </c>
      <c r="AA11" s="14">
        <f t="shared" si="4"/>
        <v>4.3348071470744234E-3</v>
      </c>
      <c r="AB11" s="14">
        <f t="shared" si="5"/>
        <v>6.3115110263297271E-3</v>
      </c>
      <c r="AC11" s="14">
        <f t="shared" si="6"/>
        <v>1.0646318173404151E-2</v>
      </c>
      <c r="AD11" s="14" t="s">
        <v>265</v>
      </c>
      <c r="AF11" s="14" t="s">
        <v>270</v>
      </c>
    </row>
    <row r="12" spans="1:34 14954:16384" s="14" customFormat="1" ht="15.75" x14ac:dyDescent="0.2">
      <c r="A12" s="14">
        <v>11</v>
      </c>
      <c r="B12" s="14">
        <v>4</v>
      </c>
      <c r="C12" s="14" t="s">
        <v>245</v>
      </c>
      <c r="D12" s="14" t="s">
        <v>261</v>
      </c>
      <c r="E12" s="14" t="s">
        <v>249</v>
      </c>
      <c r="F12" s="14" t="s">
        <v>133</v>
      </c>
      <c r="G12" s="14" t="s">
        <v>141</v>
      </c>
      <c r="H12" s="14" t="s">
        <v>140</v>
      </c>
      <c r="I12" s="14" t="s">
        <v>146</v>
      </c>
      <c r="J12" s="14">
        <v>4</v>
      </c>
      <c r="K12" s="14" t="s">
        <v>262</v>
      </c>
      <c r="L12" s="14">
        <v>6</v>
      </c>
      <c r="M12" s="14">
        <v>452.32650000000001</v>
      </c>
      <c r="O12" s="14">
        <v>67.773670000000038</v>
      </c>
      <c r="P12" s="14">
        <v>6</v>
      </c>
      <c r="Q12" s="14">
        <v>485.245</v>
      </c>
      <c r="S12" s="14">
        <v>94.428560000000004</v>
      </c>
      <c r="T12" s="14">
        <v>6</v>
      </c>
      <c r="U12" s="14" t="s">
        <v>267</v>
      </c>
      <c r="V12" s="14">
        <v>60</v>
      </c>
      <c r="W12" s="14">
        <f xml:space="preserve"> V12 * 0.001</f>
        <v>0.06</v>
      </c>
      <c r="X12" s="14" t="str">
        <f t="shared" si="2"/>
        <v>Low</v>
      </c>
      <c r="Y12" s="14" t="s">
        <v>264</v>
      </c>
      <c r="Z12" s="14">
        <f>LN(M12/Q12)</f>
        <v>-7.0249653829709324E-2</v>
      </c>
      <c r="AA12" s="14">
        <f>(O12^2)/(L12*M12^2)</f>
        <v>3.741680433292034E-3</v>
      </c>
      <c r="AB12" s="14">
        <f t="shared" si="5"/>
        <v>6.3115110263297271E-3</v>
      </c>
      <c r="AC12" s="14">
        <f t="shared" si="6"/>
        <v>1.005319145962176E-2</v>
      </c>
      <c r="AD12" s="14" t="s">
        <v>265</v>
      </c>
      <c r="AF12" s="14" t="s">
        <v>270</v>
      </c>
    </row>
    <row r="13" spans="1:34 14954:16384" s="14" customFormat="1" ht="15.75" x14ac:dyDescent="0.2">
      <c r="A13" s="14">
        <v>12</v>
      </c>
      <c r="B13" s="14">
        <v>4</v>
      </c>
      <c r="C13" s="14" t="s">
        <v>245</v>
      </c>
      <c r="D13" s="14" t="s">
        <v>261</v>
      </c>
      <c r="E13" s="14" t="s">
        <v>249</v>
      </c>
      <c r="F13" s="14" t="s">
        <v>133</v>
      </c>
      <c r="G13" s="14" t="s">
        <v>141</v>
      </c>
      <c r="H13" s="14" t="s">
        <v>140</v>
      </c>
      <c r="I13" s="14" t="s">
        <v>146</v>
      </c>
      <c r="J13" s="14">
        <v>4</v>
      </c>
      <c r="K13" s="14" t="s">
        <v>262</v>
      </c>
      <c r="L13" s="14">
        <v>6</v>
      </c>
      <c r="M13" s="14">
        <v>441.32560000000001</v>
      </c>
      <c r="O13" s="14">
        <v>11.777739999999994</v>
      </c>
      <c r="P13" s="14">
        <v>6</v>
      </c>
      <c r="Q13" s="14">
        <v>485.245</v>
      </c>
      <c r="S13" s="14">
        <v>94.428560000000004</v>
      </c>
      <c r="T13" s="14">
        <v>6</v>
      </c>
      <c r="U13" s="14" t="s">
        <v>268</v>
      </c>
      <c r="V13" s="14">
        <v>120</v>
      </c>
      <c r="W13" s="14">
        <f xml:space="preserve"> V13 * 0.001</f>
        <v>0.12</v>
      </c>
      <c r="X13" s="14" t="str">
        <f t="shared" si="2"/>
        <v>Low</v>
      </c>
      <c r="Y13" s="14" t="s">
        <v>264</v>
      </c>
      <c r="Z13" s="14">
        <f>LN(M13/Q13)</f>
        <v>-9.4870993012296068E-2</v>
      </c>
      <c r="AA13" s="14">
        <f>(O13^2)/(L13*M13^2)</f>
        <v>1.1870101554625896E-4</v>
      </c>
      <c r="AB13" s="14">
        <f t="shared" si="5"/>
        <v>6.3115110263297271E-3</v>
      </c>
      <c r="AC13" s="14">
        <f t="shared" si="6"/>
        <v>6.4302120418759864E-3</v>
      </c>
      <c r="AD13" s="14" t="s">
        <v>265</v>
      </c>
      <c r="AF13" s="14" t="s">
        <v>270</v>
      </c>
    </row>
    <row r="14" spans="1:34 14954:16384" s="14" customFormat="1" ht="15.75" x14ac:dyDescent="0.2">
      <c r="A14" s="14">
        <v>13</v>
      </c>
      <c r="B14" s="14">
        <v>4</v>
      </c>
      <c r="C14" s="14" t="s">
        <v>245</v>
      </c>
      <c r="D14" s="14" t="s">
        <v>261</v>
      </c>
      <c r="E14" s="14" t="s">
        <v>249</v>
      </c>
      <c r="F14" s="14" t="s">
        <v>133</v>
      </c>
      <c r="G14" s="14" t="s">
        <v>141</v>
      </c>
      <c r="H14" s="14" t="s">
        <v>140</v>
      </c>
      <c r="I14" s="14" t="s">
        <v>146</v>
      </c>
      <c r="J14" s="14">
        <v>4</v>
      </c>
      <c r="K14" s="14" t="s">
        <v>262</v>
      </c>
      <c r="L14" s="14">
        <v>6</v>
      </c>
      <c r="M14" s="14">
        <v>453.214</v>
      </c>
      <c r="O14" s="14">
        <v>15.91028</v>
      </c>
      <c r="P14" s="14">
        <v>6</v>
      </c>
      <c r="Q14" s="14">
        <v>485.245</v>
      </c>
      <c r="S14" s="14">
        <v>94.428560000000004</v>
      </c>
      <c r="T14" s="14">
        <v>6</v>
      </c>
      <c r="U14" s="14" t="s">
        <v>269</v>
      </c>
      <c r="V14" s="14">
        <v>320</v>
      </c>
      <c r="W14" s="14">
        <f xml:space="preserve"> V14 * 0.001</f>
        <v>0.32</v>
      </c>
      <c r="X14" s="14" t="str">
        <f t="shared" si="2"/>
        <v>Low</v>
      </c>
      <c r="Y14" s="14" t="s">
        <v>264</v>
      </c>
      <c r="Z14" s="14">
        <f>LN(M14/Q14)</f>
        <v>-6.8289497913627054E-2</v>
      </c>
      <c r="AA14" s="14">
        <f t="shared" si="4"/>
        <v>2.0539873338207984E-4</v>
      </c>
      <c r="AB14" s="14">
        <f t="shared" si="5"/>
        <v>6.3115110263297271E-3</v>
      </c>
      <c r="AC14" s="14">
        <f t="shared" si="6"/>
        <v>6.5169097597118069E-3</v>
      </c>
      <c r="AD14" s="14" t="s">
        <v>265</v>
      </c>
      <c r="AF14" s="14" t="s">
        <v>270</v>
      </c>
    </row>
    <row r="15" spans="1:34 14954:16384" s="17" customFormat="1" ht="15.75" x14ac:dyDescent="0.2">
      <c r="A15" s="17">
        <v>14</v>
      </c>
      <c r="B15" s="17">
        <v>5</v>
      </c>
      <c r="C15" s="17" t="s">
        <v>288</v>
      </c>
      <c r="D15" s="17" t="s">
        <v>293</v>
      </c>
      <c r="E15" s="17" t="s">
        <v>294</v>
      </c>
      <c r="F15" s="17" t="s">
        <v>295</v>
      </c>
      <c r="G15" s="17" t="s">
        <v>303</v>
      </c>
      <c r="H15" s="17" t="s">
        <v>302</v>
      </c>
      <c r="I15" s="17" t="s">
        <v>146</v>
      </c>
      <c r="J15" s="17">
        <v>5</v>
      </c>
      <c r="K15" s="17" t="s">
        <v>291</v>
      </c>
      <c r="L15" s="17">
        <v>3</v>
      </c>
      <c r="M15" s="17">
        <v>41.088050000000003</v>
      </c>
      <c r="N15" s="17">
        <v>39.198319999999995</v>
      </c>
      <c r="O15" s="17">
        <f xml:space="preserve"> N15*SQRT(L15)</f>
        <v>67.893481811343264</v>
      </c>
      <c r="P15" s="17">
        <v>3</v>
      </c>
      <c r="Q15" s="17">
        <v>24.22711</v>
      </c>
      <c r="R15" s="17">
        <v>18.776339999999998</v>
      </c>
      <c r="S15" s="17">
        <f xml:space="preserve"> R15*SQRT(P15)</f>
        <v>32.521574860187805</v>
      </c>
      <c r="T15" s="17">
        <v>3</v>
      </c>
      <c r="U15" s="17">
        <v>0.01</v>
      </c>
      <c r="V15" s="17">
        <v>0.01</v>
      </c>
      <c r="W15" s="17">
        <f>V15 * 10</f>
        <v>0.1</v>
      </c>
      <c r="X15" s="17" t="str">
        <f t="shared" si="2"/>
        <v>Low</v>
      </c>
      <c r="Y15" s="17" t="s">
        <v>297</v>
      </c>
      <c r="Z15" s="17">
        <f>LN(M15/Q15)</f>
        <v>0.5282450708800317</v>
      </c>
      <c r="AA15" s="17">
        <f t="shared" si="4"/>
        <v>0.91013087378682767</v>
      </c>
      <c r="AB15" s="17">
        <f t="shared" si="5"/>
        <v>0.60064609690293846</v>
      </c>
      <c r="AC15" s="17">
        <f t="shared" si="6"/>
        <v>1.5107769706897662</v>
      </c>
      <c r="AD15" s="17" t="s">
        <v>298</v>
      </c>
      <c r="AF15" s="17" t="s">
        <v>313</v>
      </c>
    </row>
    <row r="16" spans="1:34 14954:16384" s="17" customFormat="1" ht="15.75" x14ac:dyDescent="0.2">
      <c r="A16" s="17">
        <v>15</v>
      </c>
      <c r="B16" s="17">
        <v>5</v>
      </c>
      <c r="C16" s="17" t="s">
        <v>292</v>
      </c>
      <c r="D16" s="17" t="s">
        <v>293</v>
      </c>
      <c r="E16" s="17" t="s">
        <v>294</v>
      </c>
      <c r="F16" s="17" t="s">
        <v>295</v>
      </c>
      <c r="G16" s="17" t="s">
        <v>303</v>
      </c>
      <c r="H16" s="17" t="s">
        <v>302</v>
      </c>
      <c r="I16" s="17" t="s">
        <v>146</v>
      </c>
      <c r="J16" s="17">
        <v>5</v>
      </c>
      <c r="K16" s="17" t="s">
        <v>291</v>
      </c>
      <c r="L16" s="17">
        <v>3</v>
      </c>
      <c r="M16" s="17">
        <v>23.456</v>
      </c>
      <c r="N16" s="17">
        <v>24.603490000000001</v>
      </c>
      <c r="O16" s="17">
        <f t="shared" ref="O16:O22" si="7" xml:space="preserve"> N16*SQRT(L16)</f>
        <v>42.614494723512799</v>
      </c>
      <c r="P16" s="17">
        <v>3</v>
      </c>
      <c r="Q16" s="17">
        <v>24.22711</v>
      </c>
      <c r="R16" s="17">
        <v>18.776339999999998</v>
      </c>
      <c r="S16" s="17">
        <f t="shared" ref="S16:S22" si="8" xml:space="preserve"> R16*SQRT(P16)</f>
        <v>32.521574860187805</v>
      </c>
      <c r="T16" s="17">
        <v>3</v>
      </c>
      <c r="U16" s="17">
        <v>0.01</v>
      </c>
      <c r="V16" s="17">
        <v>0.01</v>
      </c>
      <c r="W16" s="17">
        <f>V16 * 10</f>
        <v>0.1</v>
      </c>
      <c r="X16" s="17" t="str">
        <f t="shared" si="2"/>
        <v>Low</v>
      </c>
      <c r="Y16" s="17" t="s">
        <v>297</v>
      </c>
      <c r="Z16" s="17">
        <f t="shared" si="3"/>
        <v>-3.2345928382794376E-2</v>
      </c>
      <c r="AA16" s="17">
        <f t="shared" si="4"/>
        <v>1.1002351769501681</v>
      </c>
      <c r="AB16" s="17">
        <f t="shared" si="5"/>
        <v>0.60064609690293846</v>
      </c>
      <c r="AC16" s="17">
        <f t="shared" si="6"/>
        <v>1.7008812738531067</v>
      </c>
      <c r="AD16" s="17" t="s">
        <v>299</v>
      </c>
      <c r="AF16" s="17" t="s">
        <v>313</v>
      </c>
    </row>
    <row r="17" spans="1:32" s="17" customFormat="1" ht="15.75" x14ac:dyDescent="0.2">
      <c r="A17" s="17">
        <v>16</v>
      </c>
      <c r="B17" s="17">
        <v>5</v>
      </c>
      <c r="C17" s="17" t="s">
        <v>292</v>
      </c>
      <c r="D17" s="17" t="s">
        <v>293</v>
      </c>
      <c r="E17" s="17" t="s">
        <v>294</v>
      </c>
      <c r="F17" s="17" t="s">
        <v>295</v>
      </c>
      <c r="G17" s="17" t="s">
        <v>303</v>
      </c>
      <c r="H17" s="17" t="s">
        <v>302</v>
      </c>
      <c r="I17" s="17" t="s">
        <v>146</v>
      </c>
      <c r="J17" s="17">
        <v>5</v>
      </c>
      <c r="K17" s="17" t="s">
        <v>291</v>
      </c>
      <c r="L17" s="17">
        <v>3</v>
      </c>
      <c r="M17" s="17">
        <v>30.234999999999999</v>
      </c>
      <c r="N17" s="17">
        <v>36.824289999999998</v>
      </c>
      <c r="O17" s="17">
        <f t="shared" si="7"/>
        <v>63.781541232650525</v>
      </c>
      <c r="P17" s="17">
        <v>3</v>
      </c>
      <c r="Q17" s="17">
        <v>24.22711</v>
      </c>
      <c r="R17" s="17">
        <v>18.776339999999998</v>
      </c>
      <c r="S17" s="17">
        <f t="shared" si="8"/>
        <v>32.521574860187805</v>
      </c>
      <c r="T17" s="17">
        <v>3</v>
      </c>
      <c r="U17" s="17">
        <v>0.04</v>
      </c>
      <c r="V17" s="17">
        <v>0.04</v>
      </c>
      <c r="W17" s="17">
        <f>V17 * 10</f>
        <v>0.4</v>
      </c>
      <c r="X17" s="17" t="str">
        <f t="shared" si="2"/>
        <v>Low</v>
      </c>
      <c r="Y17" s="17" t="s">
        <v>297</v>
      </c>
      <c r="Z17" s="17">
        <f t="shared" si="3"/>
        <v>0.22152793963814091</v>
      </c>
      <c r="AA17" s="17">
        <f t="shared" si="4"/>
        <v>1.4833677004953942</v>
      </c>
      <c r="AB17" s="17">
        <f t="shared" si="5"/>
        <v>0.60064609690293846</v>
      </c>
      <c r="AC17" s="17">
        <f t="shared" si="6"/>
        <v>2.0840137973983328</v>
      </c>
      <c r="AD17" s="17" t="s">
        <v>299</v>
      </c>
      <c r="AF17" s="17" t="s">
        <v>313</v>
      </c>
    </row>
    <row r="18" spans="1:32" s="22" customFormat="1" ht="16.5" customHeight="1" x14ac:dyDescent="0.2">
      <c r="A18" s="22">
        <v>17</v>
      </c>
      <c r="B18" s="22">
        <v>6</v>
      </c>
      <c r="C18" s="22" t="s">
        <v>17</v>
      </c>
      <c r="D18" s="22" t="s">
        <v>371</v>
      </c>
      <c r="E18" s="22" t="s">
        <v>294</v>
      </c>
      <c r="F18" s="22" t="s">
        <v>333</v>
      </c>
      <c r="G18" s="22" t="s">
        <v>372</v>
      </c>
      <c r="H18" s="22" t="s">
        <v>360</v>
      </c>
      <c r="I18" s="22" t="s">
        <v>146</v>
      </c>
      <c r="J18" s="22">
        <v>6</v>
      </c>
      <c r="K18" s="22" t="s">
        <v>375</v>
      </c>
      <c r="L18" s="22">
        <v>5</v>
      </c>
      <c r="M18" s="22">
        <v>7.1424099999999999</v>
      </c>
      <c r="N18" s="22">
        <v>1.6655999999999995</v>
      </c>
      <c r="O18" s="22">
        <f t="shared" si="7"/>
        <v>3.724394823323649</v>
      </c>
      <c r="P18" s="22">
        <v>5</v>
      </c>
      <c r="Q18" s="22">
        <v>6.2927400000000002</v>
      </c>
      <c r="R18" s="22">
        <v>1.5264499999999996</v>
      </c>
      <c r="S18" s="22">
        <f t="shared" si="8"/>
        <v>3.4132459642545534</v>
      </c>
      <c r="T18" s="22">
        <v>5</v>
      </c>
      <c r="U18" s="22" t="s">
        <v>373</v>
      </c>
      <c r="W18" s="22">
        <v>15.4</v>
      </c>
      <c r="X18" s="22" t="str">
        <f t="shared" si="2"/>
        <v>High</v>
      </c>
      <c r="Y18" s="22" t="s">
        <v>374</v>
      </c>
      <c r="Z18" s="22">
        <f t="shared" si="3"/>
        <v>0.12665366646974949</v>
      </c>
      <c r="AA18" s="22">
        <f t="shared" si="4"/>
        <v>5.4381586217486025E-2</v>
      </c>
      <c r="AB18" s="22">
        <f t="shared" si="5"/>
        <v>5.8841751300945162E-2</v>
      </c>
      <c r="AC18" s="22">
        <f t="shared" si="6"/>
        <v>0.11322333751843119</v>
      </c>
      <c r="AD18" s="22" t="s">
        <v>350</v>
      </c>
      <c r="AF18" s="22" t="s">
        <v>376</v>
      </c>
    </row>
    <row r="19" spans="1:32" s="35" customFormat="1" ht="15.75" x14ac:dyDescent="0.2">
      <c r="A19" s="35">
        <v>18</v>
      </c>
      <c r="B19" s="35">
        <v>7</v>
      </c>
      <c r="C19" s="35" t="s">
        <v>533</v>
      </c>
      <c r="D19" s="35" t="s">
        <v>548</v>
      </c>
      <c r="E19" s="35" t="s">
        <v>535</v>
      </c>
      <c r="F19" s="35" t="s">
        <v>536</v>
      </c>
      <c r="G19" s="35" t="s">
        <v>518</v>
      </c>
      <c r="H19" s="35" t="s">
        <v>517</v>
      </c>
      <c r="I19" s="35" t="s">
        <v>547</v>
      </c>
      <c r="J19" s="35">
        <v>7</v>
      </c>
      <c r="K19" s="35" t="s">
        <v>551</v>
      </c>
      <c r="L19" s="35">
        <v>5</v>
      </c>
      <c r="M19" s="35">
        <v>260.99439999999998</v>
      </c>
      <c r="N19" s="35">
        <v>134.97384</v>
      </c>
      <c r="O19" s="35">
        <f t="shared" si="7"/>
        <v>301.81068142418025</v>
      </c>
      <c r="P19" s="35">
        <v>5</v>
      </c>
      <c r="Q19" s="35">
        <v>243.58445</v>
      </c>
      <c r="R19" s="35">
        <v>152.38378999999998</v>
      </c>
      <c r="S19" s="35">
        <f xml:space="preserve"> R19*SQRT(P19)</f>
        <v>340.74051310905264</v>
      </c>
      <c r="T19" s="35">
        <v>5</v>
      </c>
      <c r="U19" s="35" t="s">
        <v>539</v>
      </c>
      <c r="V19" s="35">
        <v>0.1</v>
      </c>
      <c r="W19" s="35">
        <f>V19 * 1</f>
        <v>0.1</v>
      </c>
      <c r="X19" s="35" t="str">
        <f t="shared" si="2"/>
        <v>Low</v>
      </c>
      <c r="Y19" s="35" t="s">
        <v>549</v>
      </c>
      <c r="Z19" s="35">
        <f t="shared" si="3"/>
        <v>6.9035251509909884E-2</v>
      </c>
      <c r="AA19" s="35">
        <f t="shared" si="4"/>
        <v>0.26744644493484115</v>
      </c>
      <c r="AB19" s="35">
        <f t="shared" si="5"/>
        <v>0.39136178958674195</v>
      </c>
      <c r="AC19" s="35">
        <f t="shared" si="6"/>
        <v>0.6588082345215831</v>
      </c>
      <c r="AD19" s="35" t="s">
        <v>550</v>
      </c>
      <c r="AF19" s="35" t="s">
        <v>270</v>
      </c>
    </row>
    <row r="20" spans="1:32" s="35" customFormat="1" ht="15.75" x14ac:dyDescent="0.2">
      <c r="A20" s="35">
        <v>19</v>
      </c>
      <c r="B20" s="35">
        <v>7</v>
      </c>
      <c r="C20" s="35" t="s">
        <v>533</v>
      </c>
      <c r="D20" s="35" t="s">
        <v>548</v>
      </c>
      <c r="E20" s="35" t="s">
        <v>535</v>
      </c>
      <c r="F20" s="35" t="s">
        <v>536</v>
      </c>
      <c r="G20" s="35" t="s">
        <v>518</v>
      </c>
      <c r="H20" s="35" t="s">
        <v>517</v>
      </c>
      <c r="I20" s="35" t="s">
        <v>547</v>
      </c>
      <c r="J20" s="35">
        <v>7</v>
      </c>
      <c r="K20" s="35" t="s">
        <v>551</v>
      </c>
      <c r="L20" s="35">
        <v>5</v>
      </c>
      <c r="M20" s="35">
        <v>251.44701000000001</v>
      </c>
      <c r="N20" s="35">
        <v>143.77241999999998</v>
      </c>
      <c r="O20" s="35">
        <f t="shared" si="7"/>
        <v>321.48490440965031</v>
      </c>
      <c r="P20" s="35">
        <v>5</v>
      </c>
      <c r="Q20" s="35">
        <v>243.58445</v>
      </c>
      <c r="R20" s="35">
        <v>152.38378999999998</v>
      </c>
      <c r="S20" s="35">
        <f t="shared" si="8"/>
        <v>340.74051310905264</v>
      </c>
      <c r="T20" s="35">
        <v>5</v>
      </c>
      <c r="U20" s="35" t="s">
        <v>540</v>
      </c>
      <c r="V20" s="35">
        <v>1</v>
      </c>
      <c r="W20" s="35">
        <f>V20 * 1</f>
        <v>1</v>
      </c>
      <c r="X20" s="35" t="str">
        <f t="shared" si="2"/>
        <v>Low</v>
      </c>
      <c r="Y20" s="35" t="s">
        <v>549</v>
      </c>
      <c r="Z20" s="35">
        <f t="shared" si="3"/>
        <v>3.1768571871356246E-2</v>
      </c>
      <c r="AA20" s="35">
        <f t="shared" si="4"/>
        <v>0.32693258952974191</v>
      </c>
      <c r="AB20" s="35">
        <f t="shared" si="5"/>
        <v>0.39136178958674195</v>
      </c>
      <c r="AC20" s="35">
        <f t="shared" si="6"/>
        <v>0.71829437911648386</v>
      </c>
      <c r="AD20" s="35" t="s">
        <v>550</v>
      </c>
      <c r="AF20" s="35" t="s">
        <v>270</v>
      </c>
    </row>
    <row r="21" spans="1:32" s="35" customFormat="1" ht="15.75" x14ac:dyDescent="0.2">
      <c r="A21" s="35">
        <v>20</v>
      </c>
      <c r="B21" s="35">
        <v>7</v>
      </c>
      <c r="C21" s="35" t="s">
        <v>533</v>
      </c>
      <c r="D21" s="35" t="s">
        <v>548</v>
      </c>
      <c r="E21" s="35" t="s">
        <v>535</v>
      </c>
      <c r="F21" s="35" t="s">
        <v>536</v>
      </c>
      <c r="G21" s="35" t="s">
        <v>518</v>
      </c>
      <c r="H21" s="35" t="s">
        <v>517</v>
      </c>
      <c r="I21" s="35" t="s">
        <v>547</v>
      </c>
      <c r="J21" s="35">
        <v>7</v>
      </c>
      <c r="K21" s="35" t="s">
        <v>551</v>
      </c>
      <c r="L21" s="35">
        <v>5</v>
      </c>
      <c r="M21" s="35">
        <v>238.34275</v>
      </c>
      <c r="N21" s="35">
        <v>82.369620000000026</v>
      </c>
      <c r="O21" s="35">
        <f t="shared" si="7"/>
        <v>184.18406960082629</v>
      </c>
      <c r="P21" s="35">
        <v>5</v>
      </c>
      <c r="Q21" s="35">
        <v>243.58445</v>
      </c>
      <c r="R21" s="35">
        <v>152.38378999999998</v>
      </c>
      <c r="S21" s="35">
        <f t="shared" si="8"/>
        <v>340.74051310905264</v>
      </c>
      <c r="T21" s="35">
        <v>5</v>
      </c>
      <c r="U21" s="35" t="s">
        <v>541</v>
      </c>
      <c r="V21" s="35">
        <v>10</v>
      </c>
      <c r="W21" s="35">
        <f>V21 * 1</f>
        <v>10</v>
      </c>
      <c r="X21" s="35" t="str">
        <f t="shared" si="2"/>
        <v>High</v>
      </c>
      <c r="Y21" s="35" t="s">
        <v>549</v>
      </c>
      <c r="Z21" s="35">
        <f t="shared" si="3"/>
        <v>-2.1753935909014678E-2</v>
      </c>
      <c r="AA21" s="35">
        <f t="shared" si="4"/>
        <v>0.11943462024570781</v>
      </c>
      <c r="AB21" s="35">
        <f t="shared" si="5"/>
        <v>0.39136178958674195</v>
      </c>
      <c r="AC21" s="35">
        <f t="shared" si="6"/>
        <v>0.51079640983244978</v>
      </c>
      <c r="AD21" s="35" t="s">
        <v>550</v>
      </c>
      <c r="AF21" s="35" t="s">
        <v>270</v>
      </c>
    </row>
    <row r="22" spans="1:32" s="35" customFormat="1" ht="15.75" x14ac:dyDescent="0.2">
      <c r="A22" s="35">
        <v>21</v>
      </c>
      <c r="B22" s="35">
        <v>7</v>
      </c>
      <c r="C22" s="35" t="s">
        <v>533</v>
      </c>
      <c r="D22" s="35" t="s">
        <v>548</v>
      </c>
      <c r="E22" s="35" t="s">
        <v>535</v>
      </c>
      <c r="F22" s="35" t="s">
        <v>536</v>
      </c>
      <c r="G22" s="35" t="s">
        <v>518</v>
      </c>
      <c r="H22" s="35" t="s">
        <v>517</v>
      </c>
      <c r="I22" s="35" t="s">
        <v>547</v>
      </c>
      <c r="J22" s="35">
        <v>7</v>
      </c>
      <c r="K22" s="35" t="s">
        <v>551</v>
      </c>
      <c r="L22" s="35">
        <v>5</v>
      </c>
      <c r="M22" s="35">
        <v>186.48732999999999</v>
      </c>
      <c r="N22" s="35">
        <v>174.84823</v>
      </c>
      <c r="O22" s="35">
        <f t="shared" si="7"/>
        <v>390.9725280255181</v>
      </c>
      <c r="P22" s="35">
        <v>5</v>
      </c>
      <c r="Q22" s="35">
        <v>243.58445</v>
      </c>
      <c r="R22" s="35">
        <v>152.38378999999998</v>
      </c>
      <c r="S22" s="35">
        <f t="shared" si="8"/>
        <v>340.74051310905264</v>
      </c>
      <c r="T22" s="35">
        <v>5</v>
      </c>
      <c r="U22" s="35" t="s">
        <v>542</v>
      </c>
      <c r="V22" s="35">
        <v>20</v>
      </c>
      <c r="W22" s="35">
        <f>V22 * 1</f>
        <v>20</v>
      </c>
      <c r="X22" s="35" t="str">
        <f t="shared" si="2"/>
        <v>High</v>
      </c>
      <c r="Y22" s="35" t="s">
        <v>549</v>
      </c>
      <c r="Z22" s="35">
        <f t="shared" si="3"/>
        <v>-0.26710039852460182</v>
      </c>
      <c r="AA22" s="35">
        <f t="shared" si="4"/>
        <v>0.87907072722889334</v>
      </c>
      <c r="AB22" s="35">
        <f t="shared" si="5"/>
        <v>0.39136178958674195</v>
      </c>
      <c r="AC22" s="35">
        <f t="shared" si="6"/>
        <v>1.2704325168156352</v>
      </c>
      <c r="AD22" s="35" t="s">
        <v>550</v>
      </c>
      <c r="AF22" s="35" t="s">
        <v>270</v>
      </c>
    </row>
    <row r="31" spans="1:32" x14ac:dyDescent="0.2">
      <c r="K31" s="45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6"/>
  <sheetViews>
    <sheetView zoomScale="70" zoomScaleNormal="70" workbookViewId="0">
      <pane ySplit="1" topLeftCell="A2" activePane="bottomLeft" state="frozen"/>
      <selection pane="bottomLeft" activeCell="A2" sqref="A2:XFD7"/>
    </sheetView>
  </sheetViews>
  <sheetFormatPr defaultRowHeight="14.25" x14ac:dyDescent="0.2"/>
  <cols>
    <col min="21" max="24" width="12.375" customWidth="1"/>
    <col min="31" max="31" width="16.75" customWidth="1"/>
  </cols>
  <sheetData>
    <row r="1" spans="1:32" s="2" customFormat="1" ht="1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58</v>
      </c>
      <c r="F1" s="1" t="s">
        <v>660</v>
      </c>
      <c r="G1" s="1" t="s">
        <v>68</v>
      </c>
      <c r="H1" s="1" t="s">
        <v>92</v>
      </c>
      <c r="I1" s="1" t="s">
        <v>40</v>
      </c>
      <c r="J1" s="1" t="s">
        <v>41</v>
      </c>
      <c r="K1" s="1" t="s">
        <v>126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51</v>
      </c>
      <c r="W1" s="1" t="s">
        <v>701</v>
      </c>
      <c r="X1" s="1" t="s">
        <v>723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59</v>
      </c>
      <c r="AF1" s="1" t="s">
        <v>61</v>
      </c>
    </row>
    <row r="2" spans="1:32" s="3" customFormat="1" ht="20.25" customHeight="1" x14ac:dyDescent="0.2">
      <c r="A2" s="3">
        <v>1</v>
      </c>
      <c r="B2" s="3">
        <v>1</v>
      </c>
      <c r="C2" s="3" t="s">
        <v>1</v>
      </c>
      <c r="D2" s="3" t="s">
        <v>62</v>
      </c>
      <c r="E2" s="3" t="s">
        <v>63</v>
      </c>
      <c r="F2" s="3" t="s">
        <v>64</v>
      </c>
      <c r="G2" s="3" t="s">
        <v>69</v>
      </c>
      <c r="H2" s="3" t="s">
        <v>93</v>
      </c>
      <c r="I2" s="3" t="s">
        <v>74</v>
      </c>
      <c r="J2" s="3">
        <v>1</v>
      </c>
      <c r="K2" s="3" t="s">
        <v>778</v>
      </c>
      <c r="L2" s="3">
        <v>9</v>
      </c>
      <c r="M2" s="3">
        <v>6.4038599999999999</v>
      </c>
      <c r="N2" s="3">
        <v>0.1006399999999994</v>
      </c>
      <c r="O2" s="3">
        <f xml:space="preserve"> N2*SQRT(L2)</f>
        <v>0.30191999999999819</v>
      </c>
      <c r="P2" s="3">
        <v>9</v>
      </c>
      <c r="Q2" s="3">
        <v>6.5422399999999996</v>
      </c>
      <c r="R2" s="3">
        <v>0.14467000000000052</v>
      </c>
      <c r="S2" s="3">
        <f xml:space="preserve"> R2*SQRT(P2)</f>
        <v>0.43401000000000156</v>
      </c>
      <c r="T2" s="3">
        <v>9</v>
      </c>
      <c r="U2" s="3" t="s">
        <v>70</v>
      </c>
      <c r="V2" s="3">
        <v>5.0000000000000001E-3</v>
      </c>
      <c r="W2" s="3">
        <f t="shared" ref="W2:W7" si="0">V2*10^-3</f>
        <v>5.0000000000000004E-6</v>
      </c>
      <c r="X2" s="3" t="str">
        <f>IF(W2&lt;=1, "Low", IF(W2&lt;10, "Medium", "High"))</f>
        <v>Low</v>
      </c>
      <c r="Y2" s="3" t="s">
        <v>117</v>
      </c>
      <c r="Z2" s="3">
        <f t="shared" ref="Z2:Z36" si="1">LN(M2/Q2)</f>
        <v>-2.1378680913172476E-2</v>
      </c>
      <c r="AA2" s="3">
        <f t="shared" ref="AA2:AA36" si="2">(O2^2)/(L2*M2^2)</f>
        <v>2.4697761840727271E-4</v>
      </c>
      <c r="AB2" s="3">
        <f t="shared" ref="AB2:AB36" si="3">(S2^2)/(P2*Q2^2)</f>
        <v>4.8899455005891798E-4</v>
      </c>
      <c r="AC2" s="3">
        <f>SUM(AA2,AB2)</f>
        <v>7.3597216846619075E-4</v>
      </c>
      <c r="AD2" s="3" t="s">
        <v>65</v>
      </c>
      <c r="AE2" s="3" t="s">
        <v>76</v>
      </c>
      <c r="AF2" s="3" t="s">
        <v>75</v>
      </c>
    </row>
    <row r="3" spans="1:32" s="3" customFormat="1" ht="15.75" x14ac:dyDescent="0.2">
      <c r="A3" s="3">
        <v>2</v>
      </c>
      <c r="B3" s="3">
        <v>1</v>
      </c>
      <c r="C3" s="3" t="s">
        <v>1</v>
      </c>
      <c r="D3" s="3" t="s">
        <v>62</v>
      </c>
      <c r="E3" s="3" t="s">
        <v>63</v>
      </c>
      <c r="F3" s="3" t="s">
        <v>64</v>
      </c>
      <c r="G3" s="3" t="s">
        <v>69</v>
      </c>
      <c r="H3" s="3" t="s">
        <v>93</v>
      </c>
      <c r="I3" s="3" t="s">
        <v>74</v>
      </c>
      <c r="J3" s="3">
        <v>1</v>
      </c>
      <c r="K3" s="3" t="s">
        <v>778</v>
      </c>
      <c r="L3" s="3">
        <v>9</v>
      </c>
      <c r="M3" s="3">
        <v>5.7434000000000003</v>
      </c>
      <c r="N3" s="3">
        <v>0.37740999999999936</v>
      </c>
      <c r="O3" s="3">
        <f t="shared" ref="O3:O36" si="4" xml:space="preserve"> N3*SQRT(L3)</f>
        <v>1.1322299999999981</v>
      </c>
      <c r="P3" s="3">
        <v>9</v>
      </c>
      <c r="Q3" s="3">
        <v>6.5422399999999996</v>
      </c>
      <c r="R3" s="3">
        <v>0.14467000000000052</v>
      </c>
      <c r="S3" s="3">
        <f t="shared" ref="S3:S36" si="5" xml:space="preserve"> R3*SQRT(P3)</f>
        <v>0.43401000000000156</v>
      </c>
      <c r="T3" s="3">
        <v>9</v>
      </c>
      <c r="U3" s="3" t="s">
        <v>71</v>
      </c>
      <c r="V3" s="3">
        <v>0.05</v>
      </c>
      <c r="W3" s="3">
        <f t="shared" si="0"/>
        <v>5.0000000000000002E-5</v>
      </c>
      <c r="X3" s="3" t="str">
        <f t="shared" ref="X3:X36" si="6">IF(W3&lt;=1, "Low", IF(W3&lt;10, "Medium", "High"))</f>
        <v>Low</v>
      </c>
      <c r="Y3" s="3" t="s">
        <v>117</v>
      </c>
      <c r="Z3" s="3">
        <f t="shared" si="1"/>
        <v>-0.13022824500659708</v>
      </c>
      <c r="AA3" s="3">
        <f t="shared" si="2"/>
        <v>4.3180600609127109E-3</v>
      </c>
      <c r="AB3" s="3">
        <f t="shared" si="3"/>
        <v>4.8899455005891798E-4</v>
      </c>
      <c r="AC3" s="3">
        <f t="shared" ref="AC3:AC36" si="7">SUM(AA3,AB3)</f>
        <v>4.807054610971629E-3</v>
      </c>
      <c r="AD3" s="3" t="s">
        <v>65</v>
      </c>
    </row>
    <row r="4" spans="1:32" s="3" customFormat="1" ht="15.75" x14ac:dyDescent="0.2">
      <c r="A4" s="3">
        <v>3</v>
      </c>
      <c r="B4" s="3">
        <v>1</v>
      </c>
      <c r="C4" s="3" t="s">
        <v>1</v>
      </c>
      <c r="D4" s="3" t="s">
        <v>62</v>
      </c>
      <c r="E4" s="3" t="s">
        <v>63</v>
      </c>
      <c r="F4" s="3" t="s">
        <v>64</v>
      </c>
      <c r="G4" s="3" t="s">
        <v>69</v>
      </c>
      <c r="H4" s="3" t="s">
        <v>93</v>
      </c>
      <c r="I4" s="3" t="s">
        <v>74</v>
      </c>
      <c r="J4" s="3">
        <v>1</v>
      </c>
      <c r="K4" s="3" t="s">
        <v>778</v>
      </c>
      <c r="L4" s="3">
        <v>9</v>
      </c>
      <c r="M4" s="3">
        <v>4.2840999999999996</v>
      </c>
      <c r="N4" s="3">
        <v>0.1069299999999993</v>
      </c>
      <c r="O4" s="3">
        <f t="shared" si="4"/>
        <v>0.32078999999999791</v>
      </c>
      <c r="P4" s="3">
        <v>9</v>
      </c>
      <c r="Q4" s="3">
        <v>6.5422399999999996</v>
      </c>
      <c r="R4" s="3">
        <v>0.14467000000000052</v>
      </c>
      <c r="S4" s="3">
        <f t="shared" si="5"/>
        <v>0.43401000000000156</v>
      </c>
      <c r="T4" s="3">
        <v>9</v>
      </c>
      <c r="U4" s="3" t="s">
        <v>72</v>
      </c>
      <c r="V4" s="3">
        <v>0.5</v>
      </c>
      <c r="W4" s="3">
        <f t="shared" si="0"/>
        <v>5.0000000000000001E-4</v>
      </c>
      <c r="X4" s="3" t="str">
        <f t="shared" si="6"/>
        <v>Low</v>
      </c>
      <c r="Y4" s="3" t="s">
        <v>117</v>
      </c>
      <c r="Z4" s="3">
        <f t="shared" si="1"/>
        <v>-0.42336911948854583</v>
      </c>
      <c r="AA4" s="3">
        <f t="shared" si="2"/>
        <v>6.2298836295632569E-4</v>
      </c>
      <c r="AB4" s="3">
        <f t="shared" si="3"/>
        <v>4.8899455005891798E-4</v>
      </c>
      <c r="AC4" s="3">
        <f t="shared" si="7"/>
        <v>1.1119829130152438E-3</v>
      </c>
      <c r="AD4" s="3" t="s">
        <v>65</v>
      </c>
    </row>
    <row r="5" spans="1:32" s="3" customFormat="1" ht="15.75" x14ac:dyDescent="0.2">
      <c r="A5" s="3">
        <v>4</v>
      </c>
      <c r="B5" s="3">
        <v>1</v>
      </c>
      <c r="C5" s="3" t="s">
        <v>1</v>
      </c>
      <c r="D5" s="3" t="s">
        <v>62</v>
      </c>
      <c r="E5" s="3" t="s">
        <v>63</v>
      </c>
      <c r="F5" s="3" t="s">
        <v>64</v>
      </c>
      <c r="G5" s="3" t="s">
        <v>73</v>
      </c>
      <c r="H5" s="3" t="s">
        <v>93</v>
      </c>
      <c r="I5" s="3" t="s">
        <v>74</v>
      </c>
      <c r="J5" s="3">
        <v>1</v>
      </c>
      <c r="K5" s="3" t="s">
        <v>778</v>
      </c>
      <c r="L5" s="3">
        <v>9</v>
      </c>
      <c r="M5" s="3">
        <v>7.0792299999999999</v>
      </c>
      <c r="N5" s="3">
        <v>0.4934099999999999</v>
      </c>
      <c r="O5" s="3">
        <f t="shared" si="4"/>
        <v>1.4802299999999997</v>
      </c>
      <c r="P5" s="3">
        <v>9</v>
      </c>
      <c r="Q5" s="3">
        <v>8.0592000000000006</v>
      </c>
      <c r="R5" s="3">
        <v>0.98680999999999841</v>
      </c>
      <c r="S5" s="3">
        <f t="shared" si="5"/>
        <v>2.9604299999999952</v>
      </c>
      <c r="T5" s="3">
        <v>9</v>
      </c>
      <c r="U5" s="3" t="s">
        <v>70</v>
      </c>
      <c r="V5" s="3">
        <v>5.0000000000000001E-3</v>
      </c>
      <c r="W5" s="3">
        <f t="shared" si="0"/>
        <v>5.0000000000000004E-6</v>
      </c>
      <c r="X5" s="3" t="str">
        <f t="shared" si="6"/>
        <v>Low</v>
      </c>
      <c r="Y5" s="3" t="s">
        <v>117</v>
      </c>
      <c r="Z5" s="3">
        <f t="shared" si="1"/>
        <v>-0.12964915128024568</v>
      </c>
      <c r="AA5" s="3">
        <f t="shared" si="2"/>
        <v>4.8578471882929092E-3</v>
      </c>
      <c r="AB5" s="3">
        <f t="shared" si="3"/>
        <v>1.4992816190330967E-2</v>
      </c>
      <c r="AC5" s="3">
        <f t="shared" si="7"/>
        <v>1.9850663378623876E-2</v>
      </c>
      <c r="AD5" s="3" t="s">
        <v>65</v>
      </c>
    </row>
    <row r="6" spans="1:32" s="3" customFormat="1" ht="15.75" x14ac:dyDescent="0.2">
      <c r="A6" s="3">
        <v>5</v>
      </c>
      <c r="B6" s="3">
        <v>1</v>
      </c>
      <c r="C6" s="3" t="s">
        <v>1</v>
      </c>
      <c r="D6" s="3" t="s">
        <v>62</v>
      </c>
      <c r="E6" s="3" t="s">
        <v>63</v>
      </c>
      <c r="F6" s="3" t="s">
        <v>64</v>
      </c>
      <c r="G6" s="3" t="s">
        <v>73</v>
      </c>
      <c r="H6" s="3" t="s">
        <v>93</v>
      </c>
      <c r="I6" s="3" t="s">
        <v>74</v>
      </c>
      <c r="J6" s="3">
        <v>1</v>
      </c>
      <c r="K6" s="3" t="s">
        <v>778</v>
      </c>
      <c r="L6" s="3">
        <v>9</v>
      </c>
      <c r="M6" s="3">
        <v>5.2974800000000002</v>
      </c>
      <c r="N6" s="3">
        <v>0.68529000000000018</v>
      </c>
      <c r="O6" s="3">
        <f t="shared" si="4"/>
        <v>2.0558700000000005</v>
      </c>
      <c r="P6" s="3">
        <v>9</v>
      </c>
      <c r="Q6" s="3">
        <v>8.0592000000000006</v>
      </c>
      <c r="R6" s="3">
        <v>0.98680999999999841</v>
      </c>
      <c r="S6" s="3">
        <f t="shared" si="5"/>
        <v>2.9604299999999952</v>
      </c>
      <c r="T6" s="3">
        <v>9</v>
      </c>
      <c r="U6" s="3" t="s">
        <v>71</v>
      </c>
      <c r="V6" s="3">
        <v>0.05</v>
      </c>
      <c r="W6" s="3">
        <f t="shared" si="0"/>
        <v>5.0000000000000002E-5</v>
      </c>
      <c r="X6" s="3" t="str">
        <f t="shared" si="6"/>
        <v>Low</v>
      </c>
      <c r="Y6" s="3" t="s">
        <v>117</v>
      </c>
      <c r="Z6" s="3">
        <f t="shared" si="1"/>
        <v>-0.4195830602217972</v>
      </c>
      <c r="AA6" s="3">
        <f t="shared" si="2"/>
        <v>1.6734399683667443E-2</v>
      </c>
      <c r="AB6" s="3">
        <f t="shared" si="3"/>
        <v>1.4992816190330967E-2</v>
      </c>
      <c r="AC6" s="3">
        <f t="shared" si="7"/>
        <v>3.1727215873998411E-2</v>
      </c>
      <c r="AD6" s="3" t="s">
        <v>65</v>
      </c>
    </row>
    <row r="7" spans="1:32" s="3" customFormat="1" ht="15.75" x14ac:dyDescent="0.2">
      <c r="A7" s="3">
        <v>6</v>
      </c>
      <c r="B7" s="3">
        <v>1</v>
      </c>
      <c r="C7" s="3" t="s">
        <v>1</v>
      </c>
      <c r="D7" s="3" t="s">
        <v>62</v>
      </c>
      <c r="E7" s="3" t="s">
        <v>63</v>
      </c>
      <c r="F7" s="3" t="s">
        <v>64</v>
      </c>
      <c r="G7" s="3" t="s">
        <v>73</v>
      </c>
      <c r="H7" s="3" t="s">
        <v>93</v>
      </c>
      <c r="I7" s="3" t="s">
        <v>74</v>
      </c>
      <c r="J7" s="3">
        <v>1</v>
      </c>
      <c r="K7" s="3" t="s">
        <v>778</v>
      </c>
      <c r="L7" s="3">
        <v>9</v>
      </c>
      <c r="M7" s="3">
        <v>4.9959499999999997</v>
      </c>
      <c r="N7" s="3">
        <v>0.94569999999999954</v>
      </c>
      <c r="O7" s="3">
        <f t="shared" si="4"/>
        <v>2.8370999999999986</v>
      </c>
      <c r="P7" s="3">
        <v>9</v>
      </c>
      <c r="Q7" s="3">
        <v>8.0592000000000006</v>
      </c>
      <c r="R7" s="3">
        <v>0.98680999999999841</v>
      </c>
      <c r="S7" s="3">
        <f t="shared" si="5"/>
        <v>2.9604299999999952</v>
      </c>
      <c r="T7" s="3">
        <v>9</v>
      </c>
      <c r="U7" s="3" t="s">
        <v>72</v>
      </c>
      <c r="V7" s="3">
        <v>0.5</v>
      </c>
      <c r="W7" s="3">
        <f t="shared" si="0"/>
        <v>5.0000000000000001E-4</v>
      </c>
      <c r="X7" s="3" t="str">
        <f t="shared" si="6"/>
        <v>Low</v>
      </c>
      <c r="Y7" s="3" t="s">
        <v>117</v>
      </c>
      <c r="Z7" s="3">
        <f t="shared" si="1"/>
        <v>-0.47818671180240346</v>
      </c>
      <c r="AA7" s="3">
        <f t="shared" si="2"/>
        <v>3.5831963872121314E-2</v>
      </c>
      <c r="AB7" s="3">
        <f t="shared" si="3"/>
        <v>1.4992816190330967E-2</v>
      </c>
      <c r="AC7" s="3">
        <f t="shared" si="7"/>
        <v>5.0824780062452279E-2</v>
      </c>
      <c r="AD7" s="3" t="s">
        <v>65</v>
      </c>
    </row>
    <row r="8" spans="1:32" s="8" customFormat="1" ht="15.75" x14ac:dyDescent="0.2">
      <c r="A8" s="8">
        <v>7</v>
      </c>
      <c r="B8" s="8">
        <v>2</v>
      </c>
      <c r="C8" s="8" t="s">
        <v>130</v>
      </c>
      <c r="D8" s="8" t="s">
        <v>131</v>
      </c>
      <c r="E8" s="8" t="s">
        <v>132</v>
      </c>
      <c r="F8" s="8" t="s">
        <v>133</v>
      </c>
      <c r="G8" s="8" t="s">
        <v>141</v>
      </c>
      <c r="H8" s="8" t="s">
        <v>140</v>
      </c>
      <c r="I8" s="8" t="s">
        <v>74</v>
      </c>
      <c r="J8" s="8">
        <v>2</v>
      </c>
      <c r="K8" s="8" t="s">
        <v>155</v>
      </c>
      <c r="L8" s="8">
        <v>3</v>
      </c>
      <c r="M8" s="8">
        <v>0.79818</v>
      </c>
      <c r="N8" s="8">
        <v>5.1740000000000008E-2</v>
      </c>
      <c r="O8" s="8">
        <f t="shared" si="4"/>
        <v>8.9616308783613721E-2</v>
      </c>
      <c r="P8" s="8">
        <v>3</v>
      </c>
      <c r="Q8" s="8">
        <v>0.89204000000000006</v>
      </c>
      <c r="R8" s="8">
        <v>0.22864999999999991</v>
      </c>
      <c r="S8" s="8">
        <f t="shared" si="5"/>
        <v>0.39603341715062362</v>
      </c>
      <c r="T8" s="8">
        <v>3</v>
      </c>
      <c r="U8" s="8" t="s">
        <v>136</v>
      </c>
      <c r="V8" s="8">
        <v>1</v>
      </c>
      <c r="W8" s="8">
        <f t="shared" ref="W8:W13" si="8">V8*1000</f>
        <v>1000</v>
      </c>
      <c r="X8" s="8" t="str">
        <f t="shared" si="6"/>
        <v>High</v>
      </c>
      <c r="Y8" s="8" t="s">
        <v>135</v>
      </c>
      <c r="Z8" s="8">
        <f t="shared" si="1"/>
        <v>-0.11117683870004802</v>
      </c>
      <c r="AA8" s="8">
        <f t="shared" si="2"/>
        <v>4.2019527623368674E-3</v>
      </c>
      <c r="AB8" s="8">
        <f t="shared" si="3"/>
        <v>6.5701268314729555E-2</v>
      </c>
      <c r="AC8" s="8">
        <f t="shared" si="7"/>
        <v>6.9903221077066424E-2</v>
      </c>
      <c r="AD8" s="8" t="s">
        <v>134</v>
      </c>
    </row>
    <row r="9" spans="1:32" s="8" customFormat="1" ht="15.75" x14ac:dyDescent="0.2">
      <c r="A9" s="8">
        <v>8</v>
      </c>
      <c r="B9" s="8">
        <v>2</v>
      </c>
      <c r="C9" s="8" t="s">
        <v>130</v>
      </c>
      <c r="D9" s="8" t="s">
        <v>131</v>
      </c>
      <c r="E9" s="8" t="s">
        <v>132</v>
      </c>
      <c r="F9" s="8" t="s">
        <v>133</v>
      </c>
      <c r="G9" s="8" t="s">
        <v>141</v>
      </c>
      <c r="H9" s="8" t="s">
        <v>140</v>
      </c>
      <c r="I9" s="8" t="s">
        <v>74</v>
      </c>
      <c r="J9" s="8">
        <v>2</v>
      </c>
      <c r="K9" s="8" t="s">
        <v>155</v>
      </c>
      <c r="L9" s="8">
        <v>3</v>
      </c>
      <c r="M9" s="8">
        <v>0.88241999999999998</v>
      </c>
      <c r="N9" s="8">
        <v>7.1000000000000063E-2</v>
      </c>
      <c r="O9" s="8">
        <f t="shared" si="4"/>
        <v>0.12297560733739039</v>
      </c>
      <c r="P9" s="8">
        <v>3</v>
      </c>
      <c r="Q9" s="8">
        <v>0.89204000000000006</v>
      </c>
      <c r="R9" s="8">
        <v>0.22864999999999991</v>
      </c>
      <c r="S9" s="8">
        <f t="shared" si="5"/>
        <v>0.39603341715062362</v>
      </c>
      <c r="T9" s="8">
        <v>3</v>
      </c>
      <c r="U9" s="8" t="s">
        <v>137</v>
      </c>
      <c r="V9" s="8">
        <v>10</v>
      </c>
      <c r="W9" s="8">
        <f t="shared" si="8"/>
        <v>10000</v>
      </c>
      <c r="X9" s="8" t="str">
        <f t="shared" si="6"/>
        <v>High</v>
      </c>
      <c r="Y9" s="8" t="s">
        <v>135</v>
      </c>
      <c r="Z9" s="8">
        <f t="shared" si="1"/>
        <v>-1.0842841483640021E-2</v>
      </c>
      <c r="AA9" s="8">
        <f t="shared" si="2"/>
        <v>6.4739003741943295E-3</v>
      </c>
      <c r="AB9" s="8">
        <f t="shared" si="3"/>
        <v>6.5701268314729555E-2</v>
      </c>
      <c r="AC9" s="8">
        <f t="shared" si="7"/>
        <v>7.2175168688923888E-2</v>
      </c>
      <c r="AD9" s="8" t="s">
        <v>134</v>
      </c>
    </row>
    <row r="10" spans="1:32" s="8" customFormat="1" ht="15.75" x14ac:dyDescent="0.2">
      <c r="A10" s="8">
        <v>9</v>
      </c>
      <c r="B10" s="8">
        <v>2</v>
      </c>
      <c r="C10" s="8" t="s">
        <v>130</v>
      </c>
      <c r="D10" s="8" t="s">
        <v>131</v>
      </c>
      <c r="E10" s="8" t="s">
        <v>132</v>
      </c>
      <c r="F10" s="8" t="s">
        <v>133</v>
      </c>
      <c r="G10" s="8" t="s">
        <v>141</v>
      </c>
      <c r="H10" s="8" t="s">
        <v>140</v>
      </c>
      <c r="I10" s="8" t="s">
        <v>74</v>
      </c>
      <c r="J10" s="8">
        <v>2</v>
      </c>
      <c r="K10" s="8" t="s">
        <v>155</v>
      </c>
      <c r="L10" s="8">
        <v>3</v>
      </c>
      <c r="M10" s="8">
        <v>0.84030000000000005</v>
      </c>
      <c r="N10" s="8">
        <v>0.11673</v>
      </c>
      <c r="O10" s="8">
        <f t="shared" si="4"/>
        <v>0.20218229076751504</v>
      </c>
      <c r="P10" s="8">
        <v>3</v>
      </c>
      <c r="Q10" s="8">
        <v>0.89204000000000006</v>
      </c>
      <c r="R10" s="8">
        <v>0.22864999999999991</v>
      </c>
      <c r="S10" s="8">
        <f t="shared" si="5"/>
        <v>0.39603341715062362</v>
      </c>
      <c r="T10" s="8">
        <v>3</v>
      </c>
      <c r="U10" s="8" t="s">
        <v>138</v>
      </c>
      <c r="V10" s="8">
        <v>20</v>
      </c>
      <c r="W10" s="8">
        <f t="shared" si="8"/>
        <v>20000</v>
      </c>
      <c r="X10" s="8" t="str">
        <f t="shared" si="6"/>
        <v>High</v>
      </c>
      <c r="Y10" s="8" t="s">
        <v>135</v>
      </c>
      <c r="Z10" s="8">
        <f t="shared" si="1"/>
        <v>-5.9752003689744725E-2</v>
      </c>
      <c r="AA10" s="8">
        <f t="shared" si="2"/>
        <v>1.9297286466645445E-2</v>
      </c>
      <c r="AB10" s="8">
        <f t="shared" si="3"/>
        <v>6.5701268314729555E-2</v>
      </c>
      <c r="AC10" s="8">
        <f t="shared" si="7"/>
        <v>8.4998554781374996E-2</v>
      </c>
      <c r="AD10" s="8" t="s">
        <v>134</v>
      </c>
    </row>
    <row r="11" spans="1:32" s="8" customFormat="1" ht="15.75" x14ac:dyDescent="0.2">
      <c r="A11" s="8">
        <v>10</v>
      </c>
      <c r="B11" s="8">
        <v>2</v>
      </c>
      <c r="C11" s="8" t="s">
        <v>130</v>
      </c>
      <c r="D11" s="8" t="s">
        <v>131</v>
      </c>
      <c r="E11" s="8" t="s">
        <v>132</v>
      </c>
      <c r="F11" s="8" t="s">
        <v>133</v>
      </c>
      <c r="G11" s="8" t="s">
        <v>149</v>
      </c>
      <c r="H11" s="8" t="s">
        <v>140</v>
      </c>
      <c r="I11" s="8" t="s">
        <v>74</v>
      </c>
      <c r="J11" s="8">
        <v>2</v>
      </c>
      <c r="K11" s="8" t="s">
        <v>155</v>
      </c>
      <c r="L11" s="8">
        <v>3</v>
      </c>
      <c r="M11" s="8">
        <v>0.46242</v>
      </c>
      <c r="N11" s="8">
        <v>6.9800000000000029E-2</v>
      </c>
      <c r="O11" s="8">
        <f t="shared" si="4"/>
        <v>0.12089714636830767</v>
      </c>
      <c r="P11" s="8">
        <v>3</v>
      </c>
      <c r="Q11" s="8">
        <v>0.49492000000000003</v>
      </c>
      <c r="R11" s="8">
        <v>6.9790000000000019E-2</v>
      </c>
      <c r="S11" s="8">
        <f t="shared" si="5"/>
        <v>0.12087982586023197</v>
      </c>
      <c r="T11" s="8">
        <v>3</v>
      </c>
      <c r="U11" s="8" t="s">
        <v>136</v>
      </c>
      <c r="V11" s="8">
        <v>1</v>
      </c>
      <c r="W11" s="8">
        <f t="shared" si="8"/>
        <v>1000</v>
      </c>
      <c r="X11" s="8" t="str">
        <f t="shared" si="6"/>
        <v>High</v>
      </c>
      <c r="Y11" s="8" t="s">
        <v>135</v>
      </c>
      <c r="Z11" s="8">
        <f t="shared" si="1"/>
        <v>-6.7922564327818097E-2</v>
      </c>
      <c r="AA11" s="8">
        <f t="shared" si="2"/>
        <v>2.2784401577310404E-2</v>
      </c>
      <c r="AB11" s="8">
        <f t="shared" si="3"/>
        <v>1.9884578436285494E-2</v>
      </c>
      <c r="AC11" s="8">
        <f t="shared" si="7"/>
        <v>4.2668980013595897E-2</v>
      </c>
      <c r="AD11" s="8" t="s">
        <v>134</v>
      </c>
    </row>
    <row r="12" spans="1:32" s="8" customFormat="1" ht="15.75" x14ac:dyDescent="0.2">
      <c r="A12" s="8">
        <v>11</v>
      </c>
      <c r="B12" s="8">
        <v>2</v>
      </c>
      <c r="C12" s="8" t="s">
        <v>130</v>
      </c>
      <c r="D12" s="8" t="s">
        <v>131</v>
      </c>
      <c r="E12" s="8" t="s">
        <v>132</v>
      </c>
      <c r="F12" s="8" t="s">
        <v>133</v>
      </c>
      <c r="G12" s="8" t="s">
        <v>149</v>
      </c>
      <c r="H12" s="8" t="s">
        <v>140</v>
      </c>
      <c r="I12" s="8" t="s">
        <v>74</v>
      </c>
      <c r="J12" s="8">
        <v>2</v>
      </c>
      <c r="K12" s="8" t="s">
        <v>155</v>
      </c>
      <c r="L12" s="8">
        <v>3</v>
      </c>
      <c r="M12" s="8">
        <v>0.60202</v>
      </c>
      <c r="N12" s="8">
        <v>0.18291999999999997</v>
      </c>
      <c r="O12" s="8">
        <f t="shared" si="4"/>
        <v>0.31682673372049897</v>
      </c>
      <c r="P12" s="8">
        <v>3</v>
      </c>
      <c r="Q12" s="8">
        <v>0.49492000000000003</v>
      </c>
      <c r="R12" s="8">
        <v>6.9790000000000019E-2</v>
      </c>
      <c r="S12" s="8">
        <f t="shared" si="5"/>
        <v>0.12087982586023197</v>
      </c>
      <c r="T12" s="8">
        <v>3</v>
      </c>
      <c r="U12" s="8" t="s">
        <v>137</v>
      </c>
      <c r="V12" s="8">
        <v>10</v>
      </c>
      <c r="W12" s="8">
        <f t="shared" si="8"/>
        <v>10000</v>
      </c>
      <c r="X12" s="8" t="str">
        <f t="shared" si="6"/>
        <v>High</v>
      </c>
      <c r="Y12" s="8" t="s">
        <v>135</v>
      </c>
      <c r="Z12" s="8">
        <f t="shared" si="1"/>
        <v>0.19589453400255</v>
      </c>
      <c r="AA12" s="8">
        <f t="shared" si="2"/>
        <v>9.2321009903734777E-2</v>
      </c>
      <c r="AB12" s="8">
        <f t="shared" si="3"/>
        <v>1.9884578436285494E-2</v>
      </c>
      <c r="AC12" s="8">
        <f t="shared" si="7"/>
        <v>0.11220558834002027</v>
      </c>
      <c r="AD12" s="8" t="s">
        <v>134</v>
      </c>
    </row>
    <row r="13" spans="1:32" s="8" customFormat="1" ht="15.75" x14ac:dyDescent="0.2">
      <c r="A13" s="8">
        <v>12</v>
      </c>
      <c r="B13" s="8">
        <v>2</v>
      </c>
      <c r="C13" s="8" t="s">
        <v>130</v>
      </c>
      <c r="D13" s="8" t="s">
        <v>131</v>
      </c>
      <c r="E13" s="8" t="s">
        <v>132</v>
      </c>
      <c r="F13" s="8" t="s">
        <v>133</v>
      </c>
      <c r="G13" s="8" t="s">
        <v>149</v>
      </c>
      <c r="H13" s="8" t="s">
        <v>140</v>
      </c>
      <c r="I13" s="8" t="s">
        <v>74</v>
      </c>
      <c r="J13" s="8">
        <v>2</v>
      </c>
      <c r="K13" s="8" t="s">
        <v>155</v>
      </c>
      <c r="L13" s="8">
        <v>3</v>
      </c>
      <c r="M13" s="8">
        <v>0.57916000000000001</v>
      </c>
      <c r="N13" s="8">
        <v>9.7469999999999946E-2</v>
      </c>
      <c r="O13" s="8">
        <f t="shared" si="4"/>
        <v>0.16882299221373837</v>
      </c>
      <c r="P13" s="8">
        <v>3</v>
      </c>
      <c r="Q13" s="8">
        <v>0.49492000000000003</v>
      </c>
      <c r="R13" s="8">
        <v>6.9790000000000019E-2</v>
      </c>
      <c r="S13" s="8">
        <f t="shared" si="5"/>
        <v>0.12087982586023197</v>
      </c>
      <c r="T13" s="8">
        <v>3</v>
      </c>
      <c r="U13" s="8" t="s">
        <v>138</v>
      </c>
      <c r="V13" s="8">
        <v>20</v>
      </c>
      <c r="W13" s="8">
        <f t="shared" si="8"/>
        <v>20000</v>
      </c>
      <c r="X13" s="8" t="str">
        <f>IF(W13&lt;=1, "Low", IF(W13&lt;10, "Medium", "High"))</f>
        <v>High</v>
      </c>
      <c r="Y13" s="8" t="s">
        <v>135</v>
      </c>
      <c r="Z13" s="8">
        <f t="shared" si="1"/>
        <v>0.15718264456744588</v>
      </c>
      <c r="AA13" s="8">
        <f t="shared" si="2"/>
        <v>2.8323362662346859E-2</v>
      </c>
      <c r="AB13" s="8">
        <f t="shared" si="3"/>
        <v>1.9884578436285494E-2</v>
      </c>
      <c r="AC13" s="8">
        <f t="shared" si="7"/>
        <v>4.8207941098632356E-2</v>
      </c>
      <c r="AD13" s="8" t="s">
        <v>134</v>
      </c>
    </row>
    <row r="14" spans="1:32" s="23" customFormat="1" ht="15.75" x14ac:dyDescent="0.2">
      <c r="A14" s="23">
        <v>13</v>
      </c>
      <c r="B14" s="23">
        <v>3</v>
      </c>
      <c r="C14" s="23" t="s">
        <v>377</v>
      </c>
      <c r="D14" s="23" t="s">
        <v>378</v>
      </c>
      <c r="E14" s="23" t="s">
        <v>379</v>
      </c>
      <c r="F14" s="23" t="s">
        <v>333</v>
      </c>
      <c r="G14" s="23" t="s">
        <v>337</v>
      </c>
      <c r="H14" s="23" t="s">
        <v>360</v>
      </c>
      <c r="I14" s="23" t="s">
        <v>388</v>
      </c>
      <c r="J14" s="23">
        <v>3</v>
      </c>
      <c r="K14" s="23" t="s">
        <v>383</v>
      </c>
      <c r="L14" s="23">
        <v>24</v>
      </c>
      <c r="M14" s="23">
        <v>30.651759999999999</v>
      </c>
      <c r="N14" s="23">
        <v>0.86474000000000117</v>
      </c>
      <c r="O14" s="23">
        <f t="shared" si="4"/>
        <v>4.2363435203486564</v>
      </c>
      <c r="P14" s="23">
        <v>24</v>
      </c>
      <c r="Q14" s="23">
        <v>36.806190000000001</v>
      </c>
      <c r="R14" s="23">
        <v>1.3789099999999976</v>
      </c>
      <c r="S14" s="23">
        <f t="shared" si="5"/>
        <v>6.7552518024422916</v>
      </c>
      <c r="T14" s="23">
        <v>24</v>
      </c>
      <c r="U14" s="23" t="s">
        <v>380</v>
      </c>
      <c r="V14" s="23">
        <v>1</v>
      </c>
      <c r="W14" s="23">
        <f t="shared" ref="W14:W19" si="9">V14 * 0.001</f>
        <v>1E-3</v>
      </c>
      <c r="X14" s="23" t="str">
        <f t="shared" si="6"/>
        <v>Low</v>
      </c>
      <c r="Y14" s="23" t="s">
        <v>384</v>
      </c>
      <c r="Z14" s="23">
        <f t="shared" si="1"/>
        <v>-0.18297595430564764</v>
      </c>
      <c r="AA14" s="23">
        <f t="shared" si="2"/>
        <v>7.9590322429742659E-4</v>
      </c>
      <c r="AB14" s="23">
        <f t="shared" si="3"/>
        <v>1.4035571952681252E-3</v>
      </c>
      <c r="AC14" s="23">
        <f t="shared" si="7"/>
        <v>2.1994604195655519E-3</v>
      </c>
      <c r="AD14" s="23" t="s">
        <v>114</v>
      </c>
      <c r="AE14" s="23" t="s">
        <v>386</v>
      </c>
    </row>
    <row r="15" spans="1:32" s="23" customFormat="1" ht="15.75" x14ac:dyDescent="0.2">
      <c r="A15" s="23">
        <v>14</v>
      </c>
      <c r="B15" s="23">
        <v>3</v>
      </c>
      <c r="C15" s="23" t="s">
        <v>377</v>
      </c>
      <c r="D15" s="23" t="s">
        <v>378</v>
      </c>
      <c r="E15" s="23" t="s">
        <v>379</v>
      </c>
      <c r="F15" s="23" t="s">
        <v>333</v>
      </c>
      <c r="G15" s="23" t="s">
        <v>337</v>
      </c>
      <c r="H15" s="23" t="s">
        <v>360</v>
      </c>
      <c r="I15" s="23" t="s">
        <v>388</v>
      </c>
      <c r="J15" s="23">
        <v>3</v>
      </c>
      <c r="K15" s="23" t="s">
        <v>383</v>
      </c>
      <c r="L15" s="23">
        <v>24</v>
      </c>
      <c r="M15" s="23">
        <v>31.04128</v>
      </c>
      <c r="N15" s="23">
        <v>0.98939000000000021</v>
      </c>
      <c r="O15" s="23">
        <f t="shared" si="4"/>
        <v>4.8470013132244976</v>
      </c>
      <c r="P15" s="23">
        <v>24</v>
      </c>
      <c r="Q15" s="23">
        <v>36.806190000000001</v>
      </c>
      <c r="R15" s="23">
        <v>1.3789099999999976</v>
      </c>
      <c r="S15" s="23">
        <f t="shared" si="5"/>
        <v>6.7552518024422916</v>
      </c>
      <c r="T15" s="23">
        <v>24</v>
      </c>
      <c r="U15" s="23" t="s">
        <v>381</v>
      </c>
      <c r="V15" s="23">
        <v>10</v>
      </c>
      <c r="W15" s="23">
        <f t="shared" si="9"/>
        <v>0.01</v>
      </c>
      <c r="X15" s="23" t="str">
        <f t="shared" si="6"/>
        <v>Low</v>
      </c>
      <c r="Y15" s="23" t="s">
        <v>384</v>
      </c>
      <c r="Z15" s="23">
        <f t="shared" si="1"/>
        <v>-0.17034810597329991</v>
      </c>
      <c r="AA15" s="23">
        <f t="shared" si="2"/>
        <v>1.0159112988618949E-3</v>
      </c>
      <c r="AB15" s="23">
        <f t="shared" si="3"/>
        <v>1.4035571952681252E-3</v>
      </c>
      <c r="AC15" s="23">
        <f t="shared" si="7"/>
        <v>2.41946849413002E-3</v>
      </c>
      <c r="AD15" s="23" t="s">
        <v>114</v>
      </c>
    </row>
    <row r="16" spans="1:32" s="23" customFormat="1" ht="15.75" x14ac:dyDescent="0.2">
      <c r="A16" s="23">
        <v>15</v>
      </c>
      <c r="B16" s="23">
        <v>3</v>
      </c>
      <c r="C16" s="23" t="s">
        <v>377</v>
      </c>
      <c r="D16" s="23" t="s">
        <v>378</v>
      </c>
      <c r="E16" s="23" t="s">
        <v>379</v>
      </c>
      <c r="F16" s="23" t="s">
        <v>333</v>
      </c>
      <c r="G16" s="23" t="s">
        <v>337</v>
      </c>
      <c r="H16" s="23" t="s">
        <v>360</v>
      </c>
      <c r="I16" s="23" t="s">
        <v>388</v>
      </c>
      <c r="J16" s="23">
        <v>3</v>
      </c>
      <c r="K16" s="23" t="s">
        <v>383</v>
      </c>
      <c r="L16" s="23">
        <v>24</v>
      </c>
      <c r="M16" s="23">
        <v>34.484650000000002</v>
      </c>
      <c r="N16" s="23">
        <v>1.4645999999999972</v>
      </c>
      <c r="O16" s="23">
        <f t="shared" si="4"/>
        <v>7.1750453545604715</v>
      </c>
      <c r="P16" s="23">
        <v>24</v>
      </c>
      <c r="Q16" s="23">
        <v>36.806190000000001</v>
      </c>
      <c r="R16" s="23">
        <v>1.3789099999999976</v>
      </c>
      <c r="S16" s="23">
        <f t="shared" si="5"/>
        <v>6.7552518024422916</v>
      </c>
      <c r="T16" s="23">
        <v>24</v>
      </c>
      <c r="U16" s="23" t="s">
        <v>382</v>
      </c>
      <c r="V16" s="23">
        <v>100</v>
      </c>
      <c r="W16" s="23">
        <f t="shared" si="9"/>
        <v>0.1</v>
      </c>
      <c r="X16" s="23" t="str">
        <f t="shared" si="6"/>
        <v>Low</v>
      </c>
      <c r="Y16" s="23" t="s">
        <v>384</v>
      </c>
      <c r="Z16" s="23">
        <f t="shared" si="1"/>
        <v>-6.5151740060036822E-2</v>
      </c>
      <c r="AA16" s="23">
        <f t="shared" si="2"/>
        <v>1.8037918261699138E-3</v>
      </c>
      <c r="AB16" s="23">
        <f t="shared" si="3"/>
        <v>1.4035571952681252E-3</v>
      </c>
      <c r="AC16" s="23">
        <f t="shared" si="7"/>
        <v>3.2073490214380388E-3</v>
      </c>
      <c r="AD16" s="23" t="s">
        <v>114</v>
      </c>
    </row>
    <row r="17" spans="1:32" s="23" customFormat="1" ht="15.75" x14ac:dyDescent="0.2">
      <c r="A17" s="23">
        <v>16</v>
      </c>
      <c r="B17" s="23">
        <v>3</v>
      </c>
      <c r="C17" s="23" t="s">
        <v>377</v>
      </c>
      <c r="D17" s="23" t="s">
        <v>378</v>
      </c>
      <c r="E17" s="23" t="s">
        <v>379</v>
      </c>
      <c r="F17" s="23" t="s">
        <v>333</v>
      </c>
      <c r="G17" s="23" t="s">
        <v>337</v>
      </c>
      <c r="H17" s="23" t="s">
        <v>360</v>
      </c>
      <c r="I17" s="23" t="s">
        <v>388</v>
      </c>
      <c r="J17" s="23">
        <v>3</v>
      </c>
      <c r="K17" s="23" t="s">
        <v>383</v>
      </c>
      <c r="L17" s="23">
        <v>24</v>
      </c>
      <c r="M17" s="23">
        <v>36.242179999999998</v>
      </c>
      <c r="N17" s="23">
        <v>1.4616000000000042</v>
      </c>
      <c r="O17" s="23">
        <f t="shared" si="4"/>
        <v>7.1603484161038065</v>
      </c>
      <c r="P17" s="23">
        <v>24</v>
      </c>
      <c r="Q17" s="23">
        <v>36.778959999999998</v>
      </c>
      <c r="R17" s="23">
        <v>1.3904600000000045</v>
      </c>
      <c r="S17" s="23">
        <f t="shared" si="5"/>
        <v>6.8118350155006171</v>
      </c>
      <c r="T17" s="23">
        <v>24</v>
      </c>
      <c r="U17" s="23" t="s">
        <v>380</v>
      </c>
      <c r="V17" s="23">
        <v>1</v>
      </c>
      <c r="W17" s="23">
        <f t="shared" si="9"/>
        <v>1E-3</v>
      </c>
      <c r="X17" s="23" t="str">
        <f t="shared" si="6"/>
        <v>Low</v>
      </c>
      <c r="Y17" s="23" t="s">
        <v>385</v>
      </c>
      <c r="Z17" s="23">
        <f t="shared" si="1"/>
        <v>-1.4702308648355377E-2</v>
      </c>
      <c r="AA17" s="23">
        <f t="shared" si="2"/>
        <v>1.6264040335283226E-3</v>
      </c>
      <c r="AB17" s="23">
        <f t="shared" si="3"/>
        <v>1.4292826130505984E-3</v>
      </c>
      <c r="AC17" s="23">
        <f t="shared" si="7"/>
        <v>3.0556866465789208E-3</v>
      </c>
      <c r="AD17" s="23" t="s">
        <v>114</v>
      </c>
      <c r="AE17" s="23" t="s">
        <v>387</v>
      </c>
    </row>
    <row r="18" spans="1:32" s="23" customFormat="1" ht="15.75" x14ac:dyDescent="0.2">
      <c r="A18" s="23">
        <v>17</v>
      </c>
      <c r="B18" s="23">
        <v>3</v>
      </c>
      <c r="C18" s="23" t="s">
        <v>377</v>
      </c>
      <c r="D18" s="23" t="s">
        <v>378</v>
      </c>
      <c r="E18" s="23" t="s">
        <v>379</v>
      </c>
      <c r="F18" s="23" t="s">
        <v>333</v>
      </c>
      <c r="G18" s="23" t="s">
        <v>337</v>
      </c>
      <c r="H18" s="23" t="s">
        <v>360</v>
      </c>
      <c r="I18" s="23" t="s">
        <v>388</v>
      </c>
      <c r="J18" s="23">
        <v>3</v>
      </c>
      <c r="K18" s="23" t="s">
        <v>383</v>
      </c>
      <c r="L18" s="23">
        <v>24</v>
      </c>
      <c r="M18" s="23">
        <v>32.420029999999997</v>
      </c>
      <c r="N18" s="23">
        <v>1.3904600000000045</v>
      </c>
      <c r="O18" s="23">
        <f t="shared" si="4"/>
        <v>6.8118350155006171</v>
      </c>
      <c r="P18" s="23">
        <v>24</v>
      </c>
      <c r="Q18" s="23">
        <v>36.778959999999998</v>
      </c>
      <c r="R18" s="23">
        <v>1.3904600000000045</v>
      </c>
      <c r="S18" s="23">
        <f t="shared" si="5"/>
        <v>6.8118350155006171</v>
      </c>
      <c r="T18" s="23">
        <v>24</v>
      </c>
      <c r="U18" s="23" t="s">
        <v>381</v>
      </c>
      <c r="V18" s="23">
        <v>10</v>
      </c>
      <c r="W18" s="23">
        <f t="shared" si="9"/>
        <v>0.01</v>
      </c>
      <c r="X18" s="23" t="str">
        <f t="shared" si="6"/>
        <v>Low</v>
      </c>
      <c r="Y18" s="23" t="s">
        <v>385</v>
      </c>
      <c r="Z18" s="23">
        <f t="shared" si="1"/>
        <v>-0.12614950087748816</v>
      </c>
      <c r="AA18" s="23">
        <f t="shared" si="2"/>
        <v>1.8394592654420771E-3</v>
      </c>
      <c r="AB18" s="23">
        <f t="shared" si="3"/>
        <v>1.4292826130505984E-3</v>
      </c>
      <c r="AC18" s="23">
        <f t="shared" si="7"/>
        <v>3.2687418784926757E-3</v>
      </c>
      <c r="AD18" s="23" t="s">
        <v>114</v>
      </c>
    </row>
    <row r="19" spans="1:32" s="23" customFormat="1" ht="15.75" x14ac:dyDescent="0.2">
      <c r="A19" s="23">
        <v>18</v>
      </c>
      <c r="B19" s="23">
        <v>3</v>
      </c>
      <c r="C19" s="23" t="s">
        <v>377</v>
      </c>
      <c r="D19" s="23" t="s">
        <v>378</v>
      </c>
      <c r="E19" s="23" t="s">
        <v>379</v>
      </c>
      <c r="F19" s="23" t="s">
        <v>333</v>
      </c>
      <c r="G19" s="23" t="s">
        <v>337</v>
      </c>
      <c r="H19" s="23" t="s">
        <v>360</v>
      </c>
      <c r="I19" s="23" t="s">
        <v>388</v>
      </c>
      <c r="J19" s="23">
        <v>3</v>
      </c>
      <c r="K19" s="23" t="s">
        <v>383</v>
      </c>
      <c r="L19" s="23">
        <v>24</v>
      </c>
      <c r="M19" s="23">
        <v>33.739350000000002</v>
      </c>
      <c r="N19" s="23">
        <v>1.1447099999999963</v>
      </c>
      <c r="O19" s="23">
        <f t="shared" si="4"/>
        <v>5.6079108069226455</v>
      </c>
      <c r="P19" s="23">
        <v>24</v>
      </c>
      <c r="Q19" s="23">
        <v>36.778959999999998</v>
      </c>
      <c r="R19" s="23">
        <v>1.3904600000000045</v>
      </c>
      <c r="S19" s="23">
        <f t="shared" si="5"/>
        <v>6.8118350155006171</v>
      </c>
      <c r="T19" s="23">
        <v>24</v>
      </c>
      <c r="U19" s="23" t="s">
        <v>382</v>
      </c>
      <c r="V19" s="23">
        <v>100</v>
      </c>
      <c r="W19" s="23">
        <f t="shared" si="9"/>
        <v>0.1</v>
      </c>
      <c r="X19" s="23" t="str">
        <f t="shared" si="6"/>
        <v>Low</v>
      </c>
      <c r="Y19" s="23" t="s">
        <v>385</v>
      </c>
      <c r="Z19" s="23">
        <f t="shared" si="1"/>
        <v>-8.6261130574456571E-2</v>
      </c>
      <c r="AA19" s="23">
        <f t="shared" si="2"/>
        <v>1.1511118653104468E-3</v>
      </c>
      <c r="AB19" s="23">
        <f t="shared" si="3"/>
        <v>1.4292826130505984E-3</v>
      </c>
      <c r="AC19" s="23">
        <f t="shared" si="7"/>
        <v>2.580394478361045E-3</v>
      </c>
      <c r="AD19" s="23" t="s">
        <v>114</v>
      </c>
    </row>
    <row r="20" spans="1:32" s="25" customFormat="1" ht="15.75" x14ac:dyDescent="0.2">
      <c r="A20" s="25">
        <v>19</v>
      </c>
      <c r="B20" s="25">
        <v>4</v>
      </c>
      <c r="C20" s="25" t="s">
        <v>389</v>
      </c>
      <c r="D20" s="25" t="s">
        <v>391</v>
      </c>
      <c r="E20" s="25" t="s">
        <v>132</v>
      </c>
      <c r="F20" s="25" t="s">
        <v>333</v>
      </c>
      <c r="G20" s="25" t="s">
        <v>337</v>
      </c>
      <c r="H20" s="25" t="s">
        <v>360</v>
      </c>
      <c r="I20" s="25" t="s">
        <v>388</v>
      </c>
      <c r="J20" s="25">
        <v>4</v>
      </c>
      <c r="K20" s="25" t="s">
        <v>397</v>
      </c>
      <c r="L20" s="25">
        <v>3</v>
      </c>
      <c r="M20" s="25">
        <v>2.4580000000000001E-2</v>
      </c>
      <c r="N20" s="25">
        <v>5.3399999999999975E-3</v>
      </c>
      <c r="O20" s="25">
        <f t="shared" si="4"/>
        <v>9.2491513124178006E-3</v>
      </c>
      <c r="P20" s="25">
        <v>3</v>
      </c>
      <c r="Q20" s="25">
        <v>2.8139999999999998E-2</v>
      </c>
      <c r="R20" s="25">
        <v>7.1700000000000028E-3</v>
      </c>
      <c r="S20" s="25">
        <f t="shared" si="5"/>
        <v>1.2418804290268854E-2</v>
      </c>
      <c r="T20" s="25">
        <v>3</v>
      </c>
      <c r="U20" s="25" t="s">
        <v>392</v>
      </c>
      <c r="V20" s="25">
        <v>100</v>
      </c>
      <c r="W20" s="25">
        <f>V20* 0.001</f>
        <v>0.1</v>
      </c>
      <c r="X20" s="25" t="str">
        <f t="shared" si="6"/>
        <v>Low</v>
      </c>
      <c r="Y20" s="25" t="s">
        <v>393</v>
      </c>
      <c r="Z20" s="25">
        <f t="shared" si="1"/>
        <v>-0.13525894754835416</v>
      </c>
      <c r="AA20" s="25">
        <f t="shared" si="2"/>
        <v>4.7197474115175587E-2</v>
      </c>
      <c r="AB20" s="25">
        <f t="shared" si="3"/>
        <v>6.4921736125949661E-2</v>
      </c>
      <c r="AC20" s="25">
        <f t="shared" si="7"/>
        <v>0.11211921024112526</v>
      </c>
      <c r="AD20" s="25" t="s">
        <v>390</v>
      </c>
    </row>
    <row r="21" spans="1:32" s="25" customFormat="1" ht="15.75" x14ac:dyDescent="0.2">
      <c r="A21" s="25">
        <v>20</v>
      </c>
      <c r="B21" s="25">
        <v>4</v>
      </c>
      <c r="C21" s="25" t="s">
        <v>389</v>
      </c>
      <c r="D21" s="25" t="s">
        <v>391</v>
      </c>
      <c r="E21" s="25" t="s">
        <v>132</v>
      </c>
      <c r="F21" s="25" t="s">
        <v>333</v>
      </c>
      <c r="G21" s="25" t="s">
        <v>337</v>
      </c>
      <c r="H21" s="25" t="s">
        <v>360</v>
      </c>
      <c r="I21" s="25" t="s">
        <v>388</v>
      </c>
      <c r="J21" s="25">
        <v>4</v>
      </c>
      <c r="K21" s="25" t="s">
        <v>397</v>
      </c>
      <c r="L21" s="25">
        <v>3</v>
      </c>
      <c r="M21" s="25">
        <v>1.8599999999999998E-2</v>
      </c>
      <c r="N21" s="25">
        <v>8.6800000000000002E-3</v>
      </c>
      <c r="O21" s="25">
        <f t="shared" si="4"/>
        <v>1.5034201009697854E-2</v>
      </c>
      <c r="P21" s="25">
        <v>3</v>
      </c>
      <c r="Q21" s="25">
        <v>2.8139999999999998E-2</v>
      </c>
      <c r="R21" s="25">
        <v>7.1700000000000028E-3</v>
      </c>
      <c r="S21" s="25">
        <f t="shared" si="5"/>
        <v>1.2418804290268854E-2</v>
      </c>
      <c r="T21" s="25">
        <v>3</v>
      </c>
      <c r="U21" s="25" t="s">
        <v>392</v>
      </c>
      <c r="V21" s="25">
        <v>100</v>
      </c>
      <c r="W21" s="25">
        <f>V21* 0.001</f>
        <v>0.1</v>
      </c>
      <c r="X21" s="25" t="str">
        <f t="shared" si="6"/>
        <v>Low</v>
      </c>
      <c r="Y21" s="25" t="s">
        <v>394</v>
      </c>
      <c r="Z21" s="25">
        <f t="shared" si="1"/>
        <v>-0.41403047096708745</v>
      </c>
      <c r="AA21" s="25">
        <f t="shared" si="2"/>
        <v>0.21777777777777782</v>
      </c>
      <c r="AB21" s="25">
        <f t="shared" si="3"/>
        <v>6.4921736125949661E-2</v>
      </c>
      <c r="AC21" s="25">
        <f t="shared" si="7"/>
        <v>0.2826995139037275</v>
      </c>
      <c r="AD21" s="25" t="s">
        <v>390</v>
      </c>
    </row>
    <row r="22" spans="1:32" s="25" customFormat="1" ht="15.75" x14ac:dyDescent="0.2">
      <c r="A22" s="25">
        <v>21</v>
      </c>
      <c r="B22" s="25">
        <v>4</v>
      </c>
      <c r="C22" s="25" t="s">
        <v>389</v>
      </c>
      <c r="D22" s="25" t="s">
        <v>391</v>
      </c>
      <c r="E22" s="25" t="s">
        <v>132</v>
      </c>
      <c r="F22" s="25" t="s">
        <v>333</v>
      </c>
      <c r="G22" s="25" t="s">
        <v>337</v>
      </c>
      <c r="H22" s="25" t="s">
        <v>360</v>
      </c>
      <c r="I22" s="25" t="s">
        <v>388</v>
      </c>
      <c r="J22" s="25">
        <v>4</v>
      </c>
      <c r="K22" s="25" t="s">
        <v>397</v>
      </c>
      <c r="L22" s="25">
        <v>3</v>
      </c>
      <c r="M22" s="25">
        <v>2.307E-2</v>
      </c>
      <c r="N22" s="25">
        <v>5.3999999999999986E-3</v>
      </c>
      <c r="O22" s="25">
        <f t="shared" si="4"/>
        <v>9.3530743608719342E-3</v>
      </c>
      <c r="P22" s="25">
        <v>3</v>
      </c>
      <c r="Q22" s="25">
        <v>2.8139999999999998E-2</v>
      </c>
      <c r="R22" s="25">
        <v>7.1700000000000028E-3</v>
      </c>
      <c r="S22" s="25">
        <f t="shared" si="5"/>
        <v>1.2418804290268854E-2</v>
      </c>
      <c r="T22" s="25">
        <v>3</v>
      </c>
      <c r="U22" s="25" t="s">
        <v>392</v>
      </c>
      <c r="V22" s="25">
        <v>100</v>
      </c>
      <c r="W22" s="25">
        <f>V22* 0.001</f>
        <v>0.1</v>
      </c>
      <c r="X22" s="25" t="str">
        <f t="shared" si="6"/>
        <v>Low</v>
      </c>
      <c r="Y22" s="25" t="s">
        <v>395</v>
      </c>
      <c r="Z22" s="25">
        <f t="shared" si="1"/>
        <v>-0.19865897950058062</v>
      </c>
      <c r="AA22" s="25">
        <f t="shared" si="2"/>
        <v>5.4788868390035828E-2</v>
      </c>
      <c r="AB22" s="25">
        <f t="shared" si="3"/>
        <v>6.4921736125949661E-2</v>
      </c>
      <c r="AC22" s="25">
        <f t="shared" si="7"/>
        <v>0.11971060451598549</v>
      </c>
      <c r="AD22" s="25" t="s">
        <v>390</v>
      </c>
    </row>
    <row r="23" spans="1:32" s="35" customFormat="1" ht="15.75" x14ac:dyDescent="0.2">
      <c r="A23" s="35">
        <v>22</v>
      </c>
      <c r="B23" s="35">
        <v>5</v>
      </c>
      <c r="C23" s="35" t="s">
        <v>533</v>
      </c>
      <c r="D23" s="35" t="s">
        <v>548</v>
      </c>
      <c r="E23" s="35" t="s">
        <v>535</v>
      </c>
      <c r="F23" s="35" t="s">
        <v>536</v>
      </c>
      <c r="G23" s="35" t="s">
        <v>518</v>
      </c>
      <c r="H23" s="35" t="s">
        <v>517</v>
      </c>
      <c r="I23" s="35" t="s">
        <v>552</v>
      </c>
      <c r="J23" s="35">
        <v>5</v>
      </c>
      <c r="K23" s="35" t="s">
        <v>553</v>
      </c>
      <c r="L23" s="35">
        <v>3</v>
      </c>
      <c r="M23" s="35">
        <v>0.22302</v>
      </c>
      <c r="N23" s="35">
        <v>5.8499999999999941E-3</v>
      </c>
      <c r="O23" s="35">
        <f t="shared" si="4"/>
        <v>1.0132497224277922E-2</v>
      </c>
      <c r="P23" s="35">
        <v>3</v>
      </c>
      <c r="Q23" s="35">
        <v>0.30035000000000001</v>
      </c>
      <c r="R23" s="35">
        <v>8.3400000000000141E-3</v>
      </c>
      <c r="S23" s="35">
        <f t="shared" si="5"/>
        <v>1.4445303735124461E-2</v>
      </c>
      <c r="T23" s="35">
        <v>3</v>
      </c>
      <c r="U23" s="35" t="s">
        <v>539</v>
      </c>
      <c r="V23" s="35">
        <v>0.1</v>
      </c>
      <c r="W23" s="35">
        <f>V23 * 1000</f>
        <v>100</v>
      </c>
      <c r="X23" s="35" t="str">
        <f t="shared" si="6"/>
        <v>High</v>
      </c>
      <c r="Y23" s="35" t="s">
        <v>549</v>
      </c>
      <c r="Z23" s="35">
        <f t="shared" si="1"/>
        <v>-0.29768700775895474</v>
      </c>
      <c r="AA23" s="35">
        <f t="shared" si="2"/>
        <v>6.8805651150625775E-4</v>
      </c>
      <c r="AB23" s="35">
        <f t="shared" si="3"/>
        <v>7.7103985752818621E-4</v>
      </c>
      <c r="AC23" s="35">
        <f t="shared" si="7"/>
        <v>1.4590963690344441E-3</v>
      </c>
      <c r="AD23" s="35" t="s">
        <v>550</v>
      </c>
      <c r="AF23" s="35" t="s">
        <v>554</v>
      </c>
    </row>
    <row r="24" spans="1:32" s="35" customFormat="1" ht="15.75" x14ac:dyDescent="0.2">
      <c r="A24" s="35">
        <v>23</v>
      </c>
      <c r="B24" s="35">
        <v>5</v>
      </c>
      <c r="C24" s="35" t="s">
        <v>533</v>
      </c>
      <c r="D24" s="35" t="s">
        <v>548</v>
      </c>
      <c r="E24" s="35" t="s">
        <v>535</v>
      </c>
      <c r="F24" s="35" t="s">
        <v>536</v>
      </c>
      <c r="G24" s="35" t="s">
        <v>518</v>
      </c>
      <c r="H24" s="35" t="s">
        <v>517</v>
      </c>
      <c r="I24" s="35" t="s">
        <v>552</v>
      </c>
      <c r="J24" s="35">
        <v>5</v>
      </c>
      <c r="K24" s="35" t="s">
        <v>553</v>
      </c>
      <c r="L24" s="35">
        <v>3</v>
      </c>
      <c r="M24" s="35">
        <v>0.26754</v>
      </c>
      <c r="N24" s="35">
        <v>1.0809999999999986E-2</v>
      </c>
      <c r="O24" s="35">
        <f t="shared" si="4"/>
        <v>1.8723469229819538E-2</v>
      </c>
      <c r="P24" s="35">
        <v>3</v>
      </c>
      <c r="Q24" s="35">
        <v>0.30035000000000001</v>
      </c>
      <c r="R24" s="35">
        <v>8.3400000000000141E-3</v>
      </c>
      <c r="S24" s="35">
        <f t="shared" si="5"/>
        <v>1.4445303735124461E-2</v>
      </c>
      <c r="T24" s="35">
        <v>3</v>
      </c>
      <c r="U24" s="35" t="s">
        <v>540</v>
      </c>
      <c r="V24" s="35">
        <v>1</v>
      </c>
      <c r="W24" s="35">
        <f t="shared" ref="W24:W30" si="10">V24 * 1000</f>
        <v>1000</v>
      </c>
      <c r="X24" s="35" t="str">
        <f t="shared" si="6"/>
        <v>High</v>
      </c>
      <c r="Y24" s="35" t="s">
        <v>549</v>
      </c>
      <c r="Z24" s="35">
        <f t="shared" si="1"/>
        <v>-0.11567937342873014</v>
      </c>
      <c r="AA24" s="35">
        <f t="shared" si="2"/>
        <v>1.6325780098658572E-3</v>
      </c>
      <c r="AB24" s="35">
        <f t="shared" si="3"/>
        <v>7.7103985752818621E-4</v>
      </c>
      <c r="AC24" s="35">
        <f t="shared" si="7"/>
        <v>2.4036178673940436E-3</v>
      </c>
      <c r="AD24" s="35" t="s">
        <v>550</v>
      </c>
      <c r="AF24" s="35" t="s">
        <v>554</v>
      </c>
    </row>
    <row r="25" spans="1:32" s="35" customFormat="1" ht="15.75" x14ac:dyDescent="0.2">
      <c r="A25" s="35">
        <v>24</v>
      </c>
      <c r="B25" s="35">
        <v>5</v>
      </c>
      <c r="C25" s="35" t="s">
        <v>533</v>
      </c>
      <c r="D25" s="35" t="s">
        <v>548</v>
      </c>
      <c r="E25" s="35" t="s">
        <v>535</v>
      </c>
      <c r="F25" s="35" t="s">
        <v>536</v>
      </c>
      <c r="G25" s="35" t="s">
        <v>518</v>
      </c>
      <c r="H25" s="35" t="s">
        <v>517</v>
      </c>
      <c r="I25" s="35" t="s">
        <v>552</v>
      </c>
      <c r="J25" s="35">
        <v>5</v>
      </c>
      <c r="K25" s="35" t="s">
        <v>553</v>
      </c>
      <c r="L25" s="35">
        <v>3</v>
      </c>
      <c r="M25" s="35">
        <v>0.37946000000000002</v>
      </c>
      <c r="N25" s="35">
        <v>1.5429999999999999E-2</v>
      </c>
      <c r="O25" s="35">
        <f t="shared" si="4"/>
        <v>2.6725543960787773E-2</v>
      </c>
      <c r="P25" s="35">
        <v>3</v>
      </c>
      <c r="Q25" s="35">
        <v>0.30035000000000001</v>
      </c>
      <c r="R25" s="35">
        <v>8.3400000000000141E-3</v>
      </c>
      <c r="S25" s="35">
        <f t="shared" si="5"/>
        <v>1.4445303735124461E-2</v>
      </c>
      <c r="T25" s="35">
        <v>3</v>
      </c>
      <c r="U25" s="35" t="s">
        <v>541</v>
      </c>
      <c r="V25" s="35">
        <v>10</v>
      </c>
      <c r="W25" s="35">
        <f t="shared" si="10"/>
        <v>10000</v>
      </c>
      <c r="X25" s="35" t="str">
        <f t="shared" si="6"/>
        <v>High</v>
      </c>
      <c r="Y25" s="35" t="s">
        <v>549</v>
      </c>
      <c r="Z25" s="35">
        <f t="shared" si="1"/>
        <v>0.23380072813981723</v>
      </c>
      <c r="AA25" s="35">
        <f t="shared" si="2"/>
        <v>1.6534834310549611E-3</v>
      </c>
      <c r="AB25" s="35">
        <f t="shared" si="3"/>
        <v>7.7103985752818621E-4</v>
      </c>
      <c r="AC25" s="35">
        <f t="shared" si="7"/>
        <v>2.4245232885831474E-3</v>
      </c>
      <c r="AD25" s="35" t="s">
        <v>550</v>
      </c>
      <c r="AF25" s="35" t="s">
        <v>554</v>
      </c>
    </row>
    <row r="26" spans="1:32" s="35" customFormat="1" ht="15.75" x14ac:dyDescent="0.2">
      <c r="A26" s="35">
        <v>25</v>
      </c>
      <c r="B26" s="35">
        <v>5</v>
      </c>
      <c r="C26" s="35" t="s">
        <v>533</v>
      </c>
      <c r="D26" s="35" t="s">
        <v>548</v>
      </c>
      <c r="E26" s="35" t="s">
        <v>535</v>
      </c>
      <c r="F26" s="35" t="s">
        <v>536</v>
      </c>
      <c r="G26" s="35" t="s">
        <v>518</v>
      </c>
      <c r="H26" s="35" t="s">
        <v>517</v>
      </c>
      <c r="I26" s="35" t="s">
        <v>552</v>
      </c>
      <c r="J26" s="35">
        <v>5</v>
      </c>
      <c r="K26" s="35" t="s">
        <v>553</v>
      </c>
      <c r="L26" s="35">
        <v>3</v>
      </c>
      <c r="M26" s="35">
        <v>0.31117</v>
      </c>
      <c r="N26" s="35">
        <v>8.5100000000000176E-3</v>
      </c>
      <c r="O26" s="35">
        <f t="shared" si="4"/>
        <v>1.4739752372411175E-2</v>
      </c>
      <c r="P26" s="35">
        <v>3</v>
      </c>
      <c r="Q26" s="35">
        <v>0.30035000000000001</v>
      </c>
      <c r="R26" s="35">
        <v>8.3400000000000141E-3</v>
      </c>
      <c r="S26" s="35">
        <f t="shared" si="5"/>
        <v>1.4445303735124461E-2</v>
      </c>
      <c r="T26" s="35">
        <v>3</v>
      </c>
      <c r="U26" s="35" t="s">
        <v>542</v>
      </c>
      <c r="V26" s="35">
        <v>20</v>
      </c>
      <c r="W26" s="35">
        <f t="shared" si="10"/>
        <v>20000</v>
      </c>
      <c r="X26" s="35" t="str">
        <f t="shared" si="6"/>
        <v>High</v>
      </c>
      <c r="Y26" s="35" t="s">
        <v>549</v>
      </c>
      <c r="Z26" s="35">
        <f t="shared" si="1"/>
        <v>3.5390925332910689E-2</v>
      </c>
      <c r="AA26" s="35">
        <f t="shared" si="2"/>
        <v>7.4793469639365684E-4</v>
      </c>
      <c r="AB26" s="35">
        <f t="shared" si="3"/>
        <v>7.7103985752818621E-4</v>
      </c>
      <c r="AC26" s="35">
        <f t="shared" si="7"/>
        <v>1.518974553921843E-3</v>
      </c>
      <c r="AD26" s="35" t="s">
        <v>550</v>
      </c>
      <c r="AF26" s="35" t="s">
        <v>554</v>
      </c>
    </row>
    <row r="27" spans="1:32" s="35" customFormat="1" ht="15.75" x14ac:dyDescent="0.2">
      <c r="A27" s="35">
        <v>26</v>
      </c>
      <c r="B27" s="35">
        <v>5</v>
      </c>
      <c r="C27" s="35" t="s">
        <v>533</v>
      </c>
      <c r="D27" s="35" t="s">
        <v>548</v>
      </c>
      <c r="E27" s="35" t="s">
        <v>535</v>
      </c>
      <c r="F27" s="35" t="s">
        <v>536</v>
      </c>
      <c r="G27" s="35" t="s">
        <v>543</v>
      </c>
      <c r="H27" s="35" t="s">
        <v>517</v>
      </c>
      <c r="I27" s="35" t="s">
        <v>552</v>
      </c>
      <c r="J27" s="35">
        <v>5</v>
      </c>
      <c r="K27" s="35" t="s">
        <v>553</v>
      </c>
      <c r="L27" s="35">
        <v>3</v>
      </c>
      <c r="M27" s="35">
        <v>0.10968</v>
      </c>
      <c r="N27" s="35">
        <v>3.9000000000000007E-3</v>
      </c>
      <c r="O27" s="35">
        <f t="shared" si="4"/>
        <v>6.7549981495186222E-3</v>
      </c>
      <c r="P27" s="35">
        <v>3</v>
      </c>
      <c r="Q27" s="35">
        <v>0.12581999999999999</v>
      </c>
      <c r="R27" s="35">
        <v>5.8500000000000218E-3</v>
      </c>
      <c r="S27" s="35">
        <f t="shared" si="5"/>
        <v>1.013249722427797E-2</v>
      </c>
      <c r="T27" s="35">
        <v>3</v>
      </c>
      <c r="U27" s="35" t="s">
        <v>539</v>
      </c>
      <c r="V27" s="35">
        <v>0.1</v>
      </c>
      <c r="W27" s="35">
        <f t="shared" si="10"/>
        <v>100</v>
      </c>
      <c r="X27" s="35" t="str">
        <f t="shared" si="6"/>
        <v>High</v>
      </c>
      <c r="Y27" s="35" t="s">
        <v>549</v>
      </c>
      <c r="Z27" s="35">
        <f t="shared" si="1"/>
        <v>-0.13728527888782457</v>
      </c>
      <c r="AA27" s="35">
        <f t="shared" si="2"/>
        <v>1.2643704303108949E-3</v>
      </c>
      <c r="AB27" s="35">
        <f t="shared" si="3"/>
        <v>2.1617843598355471E-3</v>
      </c>
      <c r="AC27" s="35">
        <f t="shared" si="7"/>
        <v>3.426154790146442E-3</v>
      </c>
      <c r="AD27" s="35" t="s">
        <v>550</v>
      </c>
      <c r="AF27" s="35" t="s">
        <v>554</v>
      </c>
    </row>
    <row r="28" spans="1:32" s="35" customFormat="1" ht="15.75" x14ac:dyDescent="0.2">
      <c r="A28" s="35">
        <v>27</v>
      </c>
      <c r="B28" s="35">
        <v>5</v>
      </c>
      <c r="C28" s="35" t="s">
        <v>533</v>
      </c>
      <c r="D28" s="35" t="s">
        <v>548</v>
      </c>
      <c r="E28" s="35" t="s">
        <v>535</v>
      </c>
      <c r="F28" s="35" t="s">
        <v>536</v>
      </c>
      <c r="G28" s="35" t="s">
        <v>543</v>
      </c>
      <c r="H28" s="35" t="s">
        <v>517</v>
      </c>
      <c r="I28" s="35" t="s">
        <v>552</v>
      </c>
      <c r="J28" s="35">
        <v>5</v>
      </c>
      <c r="K28" s="35" t="s">
        <v>553</v>
      </c>
      <c r="L28" s="35">
        <v>3</v>
      </c>
      <c r="M28" s="35">
        <v>6.8529999999999994E-2</v>
      </c>
      <c r="N28" s="35">
        <v>3.9000000000000007E-3</v>
      </c>
      <c r="O28" s="35">
        <f t="shared" si="4"/>
        <v>6.7549981495186222E-3</v>
      </c>
      <c r="P28" s="35">
        <v>3</v>
      </c>
      <c r="Q28" s="35">
        <v>0.12581999999999999</v>
      </c>
      <c r="R28" s="35">
        <v>5.8500000000000218E-3</v>
      </c>
      <c r="S28" s="35">
        <f t="shared" si="5"/>
        <v>1.013249722427797E-2</v>
      </c>
      <c r="T28" s="35">
        <v>3</v>
      </c>
      <c r="U28" s="35" t="s">
        <v>540</v>
      </c>
      <c r="V28" s="35">
        <v>1</v>
      </c>
      <c r="W28" s="35">
        <f t="shared" si="10"/>
        <v>1000</v>
      </c>
      <c r="X28" s="35" t="str">
        <f t="shared" si="6"/>
        <v>High</v>
      </c>
      <c r="Y28" s="35" t="s">
        <v>549</v>
      </c>
      <c r="Z28" s="35">
        <f t="shared" si="1"/>
        <v>-0.60758070854415125</v>
      </c>
      <c r="AA28" s="35">
        <f t="shared" si="2"/>
        <v>3.2386778452226711E-3</v>
      </c>
      <c r="AB28" s="35">
        <f t="shared" si="3"/>
        <v>2.1617843598355471E-3</v>
      </c>
      <c r="AC28" s="35">
        <f t="shared" si="7"/>
        <v>5.4004622050582186E-3</v>
      </c>
      <c r="AD28" s="35" t="s">
        <v>550</v>
      </c>
      <c r="AF28" s="35" t="s">
        <v>554</v>
      </c>
    </row>
    <row r="29" spans="1:32" s="35" customFormat="1" ht="15.75" x14ac:dyDescent="0.2">
      <c r="A29" s="35">
        <v>28</v>
      </c>
      <c r="B29" s="35">
        <v>5</v>
      </c>
      <c r="C29" s="35" t="s">
        <v>533</v>
      </c>
      <c r="D29" s="35" t="s">
        <v>548</v>
      </c>
      <c r="E29" s="35" t="s">
        <v>535</v>
      </c>
      <c r="F29" s="35" t="s">
        <v>536</v>
      </c>
      <c r="G29" s="35" t="s">
        <v>543</v>
      </c>
      <c r="H29" s="35" t="s">
        <v>517</v>
      </c>
      <c r="I29" s="35" t="s">
        <v>552</v>
      </c>
      <c r="J29" s="35">
        <v>5</v>
      </c>
      <c r="K29" s="35" t="s">
        <v>553</v>
      </c>
      <c r="L29" s="35">
        <v>3</v>
      </c>
      <c r="M29" s="35">
        <v>9.6909999999999996E-2</v>
      </c>
      <c r="N29" s="35">
        <v>4.4300000000000034E-3</v>
      </c>
      <c r="O29" s="35">
        <f t="shared" si="4"/>
        <v>7.6729850775301318E-3</v>
      </c>
      <c r="P29" s="35">
        <v>3</v>
      </c>
      <c r="Q29" s="35">
        <v>0.12581999999999999</v>
      </c>
      <c r="R29" s="35">
        <v>5.8500000000000218E-3</v>
      </c>
      <c r="S29" s="35">
        <f t="shared" si="5"/>
        <v>1.013249722427797E-2</v>
      </c>
      <c r="T29" s="35">
        <v>3</v>
      </c>
      <c r="U29" s="35" t="s">
        <v>541</v>
      </c>
      <c r="V29" s="35">
        <v>10</v>
      </c>
      <c r="W29" s="35">
        <f t="shared" si="10"/>
        <v>10000</v>
      </c>
      <c r="X29" s="35" t="str">
        <f t="shared" si="6"/>
        <v>High</v>
      </c>
      <c r="Y29" s="35" t="s">
        <v>549</v>
      </c>
      <c r="Z29" s="35">
        <f t="shared" si="1"/>
        <v>-0.26106960139542484</v>
      </c>
      <c r="AA29" s="35">
        <f t="shared" si="2"/>
        <v>2.0896341892770618E-3</v>
      </c>
      <c r="AB29" s="35">
        <f t="shared" si="3"/>
        <v>2.1617843598355471E-3</v>
      </c>
      <c r="AC29" s="35">
        <f t="shared" si="7"/>
        <v>4.2514185491126094E-3</v>
      </c>
      <c r="AD29" s="35" t="s">
        <v>550</v>
      </c>
      <c r="AF29" s="35" t="s">
        <v>554</v>
      </c>
    </row>
    <row r="30" spans="1:32" s="35" customFormat="1" ht="15.75" x14ac:dyDescent="0.2">
      <c r="A30" s="35">
        <v>29</v>
      </c>
      <c r="B30" s="35">
        <v>5</v>
      </c>
      <c r="C30" s="35" t="s">
        <v>533</v>
      </c>
      <c r="D30" s="35" t="s">
        <v>548</v>
      </c>
      <c r="E30" s="35" t="s">
        <v>535</v>
      </c>
      <c r="F30" s="35" t="s">
        <v>536</v>
      </c>
      <c r="G30" s="35" t="s">
        <v>543</v>
      </c>
      <c r="H30" s="35" t="s">
        <v>517</v>
      </c>
      <c r="I30" s="35" t="s">
        <v>552</v>
      </c>
      <c r="J30" s="35">
        <v>5</v>
      </c>
      <c r="K30" s="35" t="s">
        <v>553</v>
      </c>
      <c r="L30" s="35">
        <v>3</v>
      </c>
      <c r="M30" s="35">
        <v>0.13167000000000001</v>
      </c>
      <c r="N30" s="35">
        <v>2.4799999999999822E-3</v>
      </c>
      <c r="O30" s="35">
        <f t="shared" si="4"/>
        <v>4.2954860027707847E-3</v>
      </c>
      <c r="P30" s="35">
        <v>3</v>
      </c>
      <c r="Q30" s="35">
        <v>0.12581999999999999</v>
      </c>
      <c r="R30" s="35">
        <v>5.8500000000000218E-3</v>
      </c>
      <c r="S30" s="35">
        <f t="shared" si="5"/>
        <v>1.013249722427797E-2</v>
      </c>
      <c r="T30" s="35">
        <v>3</v>
      </c>
      <c r="U30" s="35" t="s">
        <v>542</v>
      </c>
      <c r="V30" s="35">
        <v>20</v>
      </c>
      <c r="W30" s="35">
        <f t="shared" si="10"/>
        <v>20000</v>
      </c>
      <c r="X30" s="35" t="str">
        <f t="shared" si="6"/>
        <v>High</v>
      </c>
      <c r="Y30" s="35" t="s">
        <v>549</v>
      </c>
      <c r="Z30" s="35">
        <f t="shared" si="1"/>
        <v>4.5446478226368825E-2</v>
      </c>
      <c r="AA30" s="35">
        <f t="shared" si="2"/>
        <v>3.5475595188273496E-4</v>
      </c>
      <c r="AB30" s="35">
        <f t="shared" si="3"/>
        <v>2.1617843598355471E-3</v>
      </c>
      <c r="AC30" s="35">
        <f t="shared" si="7"/>
        <v>2.5165403117182821E-3</v>
      </c>
      <c r="AD30" s="35" t="s">
        <v>550</v>
      </c>
      <c r="AF30" s="35" t="s">
        <v>554</v>
      </c>
    </row>
    <row r="31" spans="1:32" s="39" customFormat="1" ht="15.75" x14ac:dyDescent="0.2">
      <c r="A31" s="39">
        <v>30</v>
      </c>
      <c r="B31" s="39">
        <v>6</v>
      </c>
      <c r="C31" s="39" t="s">
        <v>596</v>
      </c>
      <c r="D31" s="39" t="s">
        <v>608</v>
      </c>
      <c r="E31" s="39" t="s">
        <v>609</v>
      </c>
      <c r="F31" s="39" t="s">
        <v>598</v>
      </c>
      <c r="G31" s="39" t="s">
        <v>604</v>
      </c>
      <c r="H31" s="39" t="s">
        <v>602</v>
      </c>
      <c r="I31" s="39" t="s">
        <v>611</v>
      </c>
      <c r="J31" s="39">
        <v>6</v>
      </c>
      <c r="K31" s="39" t="s">
        <v>612</v>
      </c>
      <c r="L31" s="39">
        <v>9</v>
      </c>
      <c r="M31" s="39">
        <v>6.4853199999999998</v>
      </c>
      <c r="N31" s="39">
        <v>0.13939000000000057</v>
      </c>
      <c r="O31" s="39">
        <f t="shared" si="4"/>
        <v>0.41817000000000171</v>
      </c>
      <c r="P31" s="39">
        <v>9</v>
      </c>
      <c r="Q31" s="39">
        <v>6.5550199999999998</v>
      </c>
      <c r="R31" s="39">
        <v>0.10137000000000018</v>
      </c>
      <c r="S31" s="39">
        <f t="shared" si="5"/>
        <v>0.30411000000000055</v>
      </c>
      <c r="T31" s="39">
        <v>9</v>
      </c>
      <c r="U31" s="39" t="s">
        <v>599</v>
      </c>
      <c r="V31" s="39">
        <v>5.0000000000000001E-3</v>
      </c>
      <c r="W31" s="39">
        <f t="shared" ref="W31:W36" si="11">V31 * 1</f>
        <v>5.0000000000000001E-3</v>
      </c>
      <c r="X31" s="39" t="str">
        <f t="shared" si="6"/>
        <v>Low</v>
      </c>
      <c r="Y31" s="39" t="s">
        <v>610</v>
      </c>
      <c r="Z31" s="39">
        <f t="shared" si="1"/>
        <v>-1.069000712455377E-2</v>
      </c>
      <c r="AA31" s="39">
        <f t="shared" si="2"/>
        <v>4.6195579149508459E-4</v>
      </c>
      <c r="AB31" s="39">
        <f t="shared" si="3"/>
        <v>2.3915025637569228E-4</v>
      </c>
      <c r="AC31" s="39">
        <f t="shared" si="7"/>
        <v>7.0110604787077685E-4</v>
      </c>
      <c r="AD31" s="39" t="s">
        <v>597</v>
      </c>
      <c r="AF31" s="39" t="s">
        <v>613</v>
      </c>
    </row>
    <row r="32" spans="1:32" s="39" customFormat="1" ht="15.75" x14ac:dyDescent="0.2">
      <c r="A32" s="39">
        <v>31</v>
      </c>
      <c r="B32" s="39">
        <v>6</v>
      </c>
      <c r="C32" s="39" t="s">
        <v>596</v>
      </c>
      <c r="D32" s="39" t="s">
        <v>608</v>
      </c>
      <c r="E32" s="39" t="s">
        <v>609</v>
      </c>
      <c r="F32" s="39" t="s">
        <v>598</v>
      </c>
      <c r="G32" s="39" t="s">
        <v>604</v>
      </c>
      <c r="H32" s="39" t="s">
        <v>602</v>
      </c>
      <c r="I32" s="39" t="s">
        <v>611</v>
      </c>
      <c r="J32" s="39">
        <v>6</v>
      </c>
      <c r="K32" s="39" t="s">
        <v>612</v>
      </c>
      <c r="L32" s="39">
        <v>9</v>
      </c>
      <c r="M32" s="39">
        <v>5.7820299999999998</v>
      </c>
      <c r="N32" s="39">
        <v>0.38016000000000005</v>
      </c>
      <c r="O32" s="39">
        <f t="shared" si="4"/>
        <v>1.1404800000000002</v>
      </c>
      <c r="P32" s="39">
        <v>9</v>
      </c>
      <c r="Q32" s="39">
        <v>6.5550199999999998</v>
      </c>
      <c r="R32" s="39">
        <v>0.10137000000000018</v>
      </c>
      <c r="S32" s="39">
        <f t="shared" si="5"/>
        <v>0.30411000000000055</v>
      </c>
      <c r="T32" s="39">
        <v>9</v>
      </c>
      <c r="U32" s="39" t="s">
        <v>600</v>
      </c>
      <c r="V32" s="39">
        <v>0.05</v>
      </c>
      <c r="W32" s="39">
        <f t="shared" si="11"/>
        <v>0.05</v>
      </c>
      <c r="X32" s="39" t="str">
        <f t="shared" si="6"/>
        <v>Low</v>
      </c>
      <c r="Y32" s="39" t="s">
        <v>610</v>
      </c>
      <c r="Z32" s="39">
        <f t="shared" si="1"/>
        <v>-0.12547633622025606</v>
      </c>
      <c r="AA32" s="39">
        <f t="shared" si="2"/>
        <v>4.3228698131175212E-3</v>
      </c>
      <c r="AB32" s="39">
        <f t="shared" si="3"/>
        <v>2.3915025637569228E-4</v>
      </c>
      <c r="AC32" s="39">
        <f t="shared" si="7"/>
        <v>4.5620200694932132E-3</v>
      </c>
      <c r="AD32" s="39" t="s">
        <v>597</v>
      </c>
      <c r="AF32" s="39" t="s">
        <v>613</v>
      </c>
    </row>
    <row r="33" spans="1:32" s="39" customFormat="1" ht="15.75" x14ac:dyDescent="0.2">
      <c r="A33" s="39">
        <v>32</v>
      </c>
      <c r="B33" s="39">
        <v>6</v>
      </c>
      <c r="C33" s="39" t="s">
        <v>596</v>
      </c>
      <c r="D33" s="39" t="s">
        <v>608</v>
      </c>
      <c r="E33" s="39" t="s">
        <v>609</v>
      </c>
      <c r="F33" s="39" t="s">
        <v>598</v>
      </c>
      <c r="G33" s="39" t="s">
        <v>604</v>
      </c>
      <c r="H33" s="39" t="s">
        <v>602</v>
      </c>
      <c r="I33" s="39" t="s">
        <v>611</v>
      </c>
      <c r="J33" s="39">
        <v>6</v>
      </c>
      <c r="K33" s="39" t="s">
        <v>612</v>
      </c>
      <c r="L33" s="39">
        <v>9</v>
      </c>
      <c r="M33" s="39">
        <v>4.2423700000000002</v>
      </c>
      <c r="N33" s="39">
        <v>0.10770999999999997</v>
      </c>
      <c r="O33" s="39">
        <f t="shared" si="4"/>
        <v>0.32312999999999992</v>
      </c>
      <c r="P33" s="39">
        <v>9</v>
      </c>
      <c r="Q33" s="39">
        <v>6.5550199999999998</v>
      </c>
      <c r="R33" s="39">
        <v>0.10137000000000018</v>
      </c>
      <c r="S33" s="39">
        <f t="shared" si="5"/>
        <v>0.30411000000000055</v>
      </c>
      <c r="T33" s="39">
        <v>9</v>
      </c>
      <c r="U33" s="39" t="s">
        <v>601</v>
      </c>
      <c r="V33" s="39">
        <v>0.5</v>
      </c>
      <c r="W33" s="39">
        <f t="shared" si="11"/>
        <v>0.5</v>
      </c>
      <c r="X33" s="39" t="str">
        <f t="shared" si="6"/>
        <v>Low</v>
      </c>
      <c r="Y33" s="39" t="s">
        <v>610</v>
      </c>
      <c r="Z33" s="39">
        <f t="shared" si="1"/>
        <v>-0.43510909297023403</v>
      </c>
      <c r="AA33" s="39">
        <f t="shared" si="2"/>
        <v>6.4460692346044108E-4</v>
      </c>
      <c r="AB33" s="39">
        <f t="shared" si="3"/>
        <v>2.3915025637569228E-4</v>
      </c>
      <c r="AC33" s="39">
        <f t="shared" si="7"/>
        <v>8.8375717983613339E-4</v>
      </c>
      <c r="AD33" s="39" t="s">
        <v>597</v>
      </c>
      <c r="AF33" s="39" t="s">
        <v>613</v>
      </c>
    </row>
    <row r="34" spans="1:32" s="39" customFormat="1" ht="15.75" x14ac:dyDescent="0.2">
      <c r="A34" s="39">
        <v>33</v>
      </c>
      <c r="B34" s="39">
        <v>6</v>
      </c>
      <c r="C34" s="39" t="s">
        <v>596</v>
      </c>
      <c r="D34" s="39" t="s">
        <v>608</v>
      </c>
      <c r="E34" s="39" t="s">
        <v>609</v>
      </c>
      <c r="F34" s="39" t="s">
        <v>598</v>
      </c>
      <c r="G34" s="39" t="s">
        <v>605</v>
      </c>
      <c r="H34" s="39" t="s">
        <v>602</v>
      </c>
      <c r="I34" s="39" t="s">
        <v>611</v>
      </c>
      <c r="J34" s="39">
        <v>6</v>
      </c>
      <c r="K34" s="39" t="s">
        <v>612</v>
      </c>
      <c r="L34" s="39">
        <v>9</v>
      </c>
      <c r="M34" s="39">
        <v>7.0272100000000002</v>
      </c>
      <c r="N34" s="39">
        <v>0.57004000000000055</v>
      </c>
      <c r="O34" s="39">
        <f t="shared" si="4"/>
        <v>1.7101200000000016</v>
      </c>
      <c r="P34" s="39">
        <v>9</v>
      </c>
      <c r="Q34" s="39">
        <v>7.9406499999999998</v>
      </c>
      <c r="R34" s="39">
        <v>0.95464999999999911</v>
      </c>
      <c r="S34" s="39">
        <f t="shared" si="5"/>
        <v>2.8639499999999973</v>
      </c>
      <c r="T34" s="39">
        <v>9</v>
      </c>
      <c r="U34" s="39" t="s">
        <v>599</v>
      </c>
      <c r="V34" s="39">
        <v>5.0000000000000001E-3</v>
      </c>
      <c r="W34" s="39">
        <f t="shared" si="11"/>
        <v>5.0000000000000001E-3</v>
      </c>
      <c r="X34" s="39" t="str">
        <f t="shared" si="6"/>
        <v>Low</v>
      </c>
      <c r="Y34" s="39" t="s">
        <v>610</v>
      </c>
      <c r="Z34" s="39">
        <f t="shared" si="1"/>
        <v>-0.12220537939437356</v>
      </c>
      <c r="AA34" s="39">
        <f t="shared" si="2"/>
        <v>6.5802864356277998E-3</v>
      </c>
      <c r="AB34" s="39">
        <f t="shared" si="3"/>
        <v>1.4453607126823122E-2</v>
      </c>
      <c r="AC34" s="39">
        <f t="shared" si="7"/>
        <v>2.1033893562450921E-2</v>
      </c>
      <c r="AD34" s="39" t="s">
        <v>597</v>
      </c>
      <c r="AF34" s="39" t="s">
        <v>613</v>
      </c>
    </row>
    <row r="35" spans="1:32" s="39" customFormat="1" ht="15.75" x14ac:dyDescent="0.2">
      <c r="A35" s="39">
        <v>34</v>
      </c>
      <c r="B35" s="39">
        <v>6</v>
      </c>
      <c r="C35" s="39" t="s">
        <v>596</v>
      </c>
      <c r="D35" s="39" t="s">
        <v>608</v>
      </c>
      <c r="E35" s="39" t="s">
        <v>609</v>
      </c>
      <c r="F35" s="39" t="s">
        <v>598</v>
      </c>
      <c r="G35" s="39" t="s">
        <v>605</v>
      </c>
      <c r="H35" s="39" t="s">
        <v>602</v>
      </c>
      <c r="I35" s="39" t="s">
        <v>611</v>
      </c>
      <c r="J35" s="39">
        <v>6</v>
      </c>
      <c r="K35" s="39" t="s">
        <v>612</v>
      </c>
      <c r="L35" s="39">
        <v>9</v>
      </c>
      <c r="M35" s="39">
        <v>5.2827500000000001</v>
      </c>
      <c r="N35" s="39">
        <v>0.61125000000000007</v>
      </c>
      <c r="O35" s="39">
        <f t="shared" si="4"/>
        <v>1.8337500000000002</v>
      </c>
      <c r="P35" s="39">
        <v>9</v>
      </c>
      <c r="Q35" s="39">
        <v>7.9406499999999998</v>
      </c>
      <c r="R35" s="39">
        <v>0.95464999999999911</v>
      </c>
      <c r="S35" s="39">
        <f t="shared" si="5"/>
        <v>2.8639499999999973</v>
      </c>
      <c r="T35" s="39">
        <v>9</v>
      </c>
      <c r="U35" s="39" t="s">
        <v>600</v>
      </c>
      <c r="V35" s="39">
        <v>0.05</v>
      </c>
      <c r="W35" s="39">
        <f t="shared" si="11"/>
        <v>0.05</v>
      </c>
      <c r="X35" s="39" t="str">
        <f t="shared" si="6"/>
        <v>Low</v>
      </c>
      <c r="Y35" s="39" t="s">
        <v>610</v>
      </c>
      <c r="Z35" s="39">
        <f t="shared" si="1"/>
        <v>-0.40754834042332083</v>
      </c>
      <c r="AA35" s="39">
        <f t="shared" si="2"/>
        <v>1.3388059286441241E-2</v>
      </c>
      <c r="AB35" s="39">
        <f t="shared" si="3"/>
        <v>1.4453607126823122E-2</v>
      </c>
      <c r="AC35" s="39">
        <f t="shared" si="7"/>
        <v>2.7841666413264361E-2</v>
      </c>
      <c r="AD35" s="39" t="s">
        <v>597</v>
      </c>
      <c r="AF35" s="39" t="s">
        <v>613</v>
      </c>
    </row>
    <row r="36" spans="1:32" s="39" customFormat="1" ht="15.75" x14ac:dyDescent="0.2">
      <c r="A36" s="39">
        <v>35</v>
      </c>
      <c r="B36" s="39">
        <v>6</v>
      </c>
      <c r="C36" s="39" t="s">
        <v>596</v>
      </c>
      <c r="D36" s="39" t="s">
        <v>608</v>
      </c>
      <c r="E36" s="39" t="s">
        <v>609</v>
      </c>
      <c r="F36" s="39" t="s">
        <v>598</v>
      </c>
      <c r="G36" s="39" t="s">
        <v>605</v>
      </c>
      <c r="H36" s="39" t="s">
        <v>602</v>
      </c>
      <c r="I36" s="39" t="s">
        <v>611</v>
      </c>
      <c r="J36" s="39">
        <v>6</v>
      </c>
      <c r="K36" s="39" t="s">
        <v>612</v>
      </c>
      <c r="L36" s="39">
        <v>9</v>
      </c>
      <c r="M36" s="39">
        <v>5.0560999999999998</v>
      </c>
      <c r="N36" s="39">
        <v>0.9821200000000001</v>
      </c>
      <c r="O36" s="39">
        <f t="shared" si="4"/>
        <v>2.9463600000000003</v>
      </c>
      <c r="P36" s="39">
        <v>9</v>
      </c>
      <c r="Q36" s="39">
        <v>7.9406499999999998</v>
      </c>
      <c r="R36" s="39">
        <v>0.95464999999999911</v>
      </c>
      <c r="S36" s="39">
        <f t="shared" si="5"/>
        <v>2.8639499999999973</v>
      </c>
      <c r="T36" s="39">
        <v>9</v>
      </c>
      <c r="U36" s="39" t="s">
        <v>601</v>
      </c>
      <c r="V36" s="39">
        <v>0.5</v>
      </c>
      <c r="W36" s="39">
        <f t="shared" si="11"/>
        <v>0.5</v>
      </c>
      <c r="X36" s="39" t="str">
        <f t="shared" si="6"/>
        <v>Low</v>
      </c>
      <c r="Y36" s="39" t="s">
        <v>610</v>
      </c>
      <c r="Z36" s="39">
        <f t="shared" si="1"/>
        <v>-0.45139970075824321</v>
      </c>
      <c r="AA36" s="39">
        <f t="shared" si="2"/>
        <v>3.7730955250589802E-2</v>
      </c>
      <c r="AB36" s="39">
        <f t="shared" si="3"/>
        <v>1.4453607126823122E-2</v>
      </c>
      <c r="AC36" s="39">
        <f t="shared" si="7"/>
        <v>5.2184562377412924E-2</v>
      </c>
      <c r="AD36" s="39" t="s">
        <v>597</v>
      </c>
      <c r="AF36" s="39" t="s">
        <v>613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39"/>
  <sheetViews>
    <sheetView zoomScale="130" zoomScaleNormal="130" workbookViewId="0">
      <pane ySplit="1" topLeftCell="A2" activePane="bottomLeft" state="frozen"/>
      <selection activeCell="D1" sqref="D1"/>
      <selection pane="bottomLeft" activeCell="A2" sqref="A2:XFD6"/>
    </sheetView>
  </sheetViews>
  <sheetFormatPr defaultRowHeight="14.25" x14ac:dyDescent="0.2"/>
  <cols>
    <col min="20" max="20" width="7.875" customWidth="1"/>
    <col min="21" max="24" width="12.625" customWidth="1"/>
    <col min="26" max="26" width="9.375" bestFit="1" customWidth="1"/>
  </cols>
  <sheetData>
    <row r="1" spans="1:32" s="2" customFormat="1" ht="19.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58</v>
      </c>
      <c r="F1" s="1" t="s">
        <v>660</v>
      </c>
      <c r="G1" s="1" t="s">
        <v>68</v>
      </c>
      <c r="H1" s="1" t="s">
        <v>92</v>
      </c>
      <c r="I1" s="1" t="s">
        <v>40</v>
      </c>
      <c r="J1" s="1" t="s">
        <v>41</v>
      </c>
      <c r="K1" s="1" t="s">
        <v>126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/>
      <c r="W1" s="1" t="s">
        <v>706</v>
      </c>
      <c r="X1" s="1" t="s">
        <v>723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59</v>
      </c>
      <c r="AF1" s="1" t="s">
        <v>61</v>
      </c>
    </row>
    <row r="2" spans="1:32" s="4" customFormat="1" ht="15" customHeight="1" x14ac:dyDescent="0.2">
      <c r="A2" s="4">
        <v>1</v>
      </c>
      <c r="B2" s="4">
        <v>1</v>
      </c>
      <c r="C2" s="4" t="s">
        <v>2</v>
      </c>
      <c r="D2" s="4" t="s">
        <v>79</v>
      </c>
      <c r="E2" s="4" t="s">
        <v>80</v>
      </c>
      <c r="F2" s="4" t="s">
        <v>64</v>
      </c>
      <c r="G2" s="4" t="s">
        <v>168</v>
      </c>
      <c r="H2" s="4" t="s">
        <v>94</v>
      </c>
      <c r="I2" s="4" t="s">
        <v>81</v>
      </c>
      <c r="J2" s="4">
        <v>1</v>
      </c>
      <c r="K2" s="4" t="s">
        <v>779</v>
      </c>
      <c r="L2" s="4">
        <v>5</v>
      </c>
      <c r="M2" s="4">
        <v>11.04209</v>
      </c>
      <c r="N2" s="4">
        <v>0.24549999999999983</v>
      </c>
      <c r="O2" s="4">
        <f xml:space="preserve"> N2*SQRT(L2)</f>
        <v>0.54895468847619799</v>
      </c>
      <c r="P2" s="4">
        <v>5</v>
      </c>
      <c r="Q2" s="4">
        <v>10.497909999999999</v>
      </c>
      <c r="R2" s="4">
        <v>0.4746200000000016</v>
      </c>
      <c r="S2" s="4">
        <f xml:space="preserve"> R2*SQRT(P2)</f>
        <v>1.0612825834809538</v>
      </c>
      <c r="T2" s="4">
        <v>5</v>
      </c>
      <c r="U2" s="4" t="s">
        <v>82</v>
      </c>
      <c r="V2" s="4">
        <v>93.5</v>
      </c>
      <c r="W2" s="4">
        <f t="shared" ref="W2:W8" si="0">V2 / 1000</f>
        <v>9.35E-2</v>
      </c>
      <c r="X2" s="4" t="str">
        <f>IF(W2&lt;=1, "Low", IF(W2&lt;10, "Medium", "High"))</f>
        <v>Low</v>
      </c>
      <c r="Y2" s="4" t="s">
        <v>90</v>
      </c>
      <c r="Z2" s="4">
        <f>LN(M2/Q2)</f>
        <v>5.0538144794149954E-2</v>
      </c>
      <c r="AA2" s="4">
        <f>(O2^2)/(L2*M2^2)</f>
        <v>4.9431117382934219E-4</v>
      </c>
      <c r="AB2" s="4">
        <f>(S2^2)/(P2*Q2^2)</f>
        <v>2.044025830069606E-3</v>
      </c>
      <c r="AC2" s="4">
        <f>SUM(AA2,AB2)</f>
        <v>2.5383370038989483E-3</v>
      </c>
      <c r="AD2" s="4" t="s">
        <v>97</v>
      </c>
      <c r="AE2" s="4" t="s">
        <v>77</v>
      </c>
      <c r="AF2" s="4" t="s">
        <v>78</v>
      </c>
    </row>
    <row r="3" spans="1:32" s="4" customFormat="1" ht="15.75" x14ac:dyDescent="0.2">
      <c r="A3" s="4">
        <v>2</v>
      </c>
      <c r="B3" s="4">
        <v>1</v>
      </c>
      <c r="C3" s="4" t="s">
        <v>2</v>
      </c>
      <c r="D3" s="4" t="s">
        <v>79</v>
      </c>
      <c r="E3" s="4" t="s">
        <v>80</v>
      </c>
      <c r="F3" s="4" t="s">
        <v>64</v>
      </c>
      <c r="G3" s="4" t="s">
        <v>168</v>
      </c>
      <c r="H3" s="4" t="s">
        <v>94</v>
      </c>
      <c r="I3" s="4" t="s">
        <v>81</v>
      </c>
      <c r="J3" s="4">
        <v>1</v>
      </c>
      <c r="K3" s="4" t="s">
        <v>779</v>
      </c>
      <c r="L3" s="4">
        <v>5</v>
      </c>
      <c r="M3" s="4">
        <v>10.7475</v>
      </c>
      <c r="N3" s="4">
        <v>0.27003999999999984</v>
      </c>
      <c r="O3" s="4">
        <f t="shared" ref="O3:O48" si="1" xml:space="preserve"> N3*SQRT(L3)</f>
        <v>0.60382779664404285</v>
      </c>
      <c r="P3" s="4">
        <v>5</v>
      </c>
      <c r="Q3" s="4">
        <v>10.497909999999999</v>
      </c>
      <c r="R3" s="4">
        <v>0.4746200000000016</v>
      </c>
      <c r="S3" s="4">
        <f t="shared" ref="S3:S48" si="2" xml:space="preserve"> R3*SQRT(P3)</f>
        <v>1.0612825834809538</v>
      </c>
      <c r="T3" s="4">
        <v>5</v>
      </c>
      <c r="U3" s="4" t="s">
        <v>83</v>
      </c>
      <c r="V3" s="4">
        <v>187.5</v>
      </c>
      <c r="W3" s="4">
        <f t="shared" si="0"/>
        <v>0.1875</v>
      </c>
      <c r="X3" s="4" t="str">
        <f t="shared" ref="X3:X66" si="3">IF(W3&lt;=1, "Low", IF(W3&lt;10, "Medium", "High"))</f>
        <v>Low</v>
      </c>
      <c r="Y3" s="4" t="s">
        <v>90</v>
      </c>
      <c r="Z3" s="4">
        <f t="shared" ref="Z3:Z66" si="4">LN(M3/Q3)</f>
        <v>2.3496979656476021E-2</v>
      </c>
      <c r="AA3" s="4">
        <f t="shared" ref="AA3:AA66" si="5">(O3^2)/(L3*M3^2)</f>
        <v>6.313079974835233E-4</v>
      </c>
      <c r="AB3" s="4">
        <f t="shared" ref="AB3:AB66" si="6">(S3^2)/(P3*Q3^2)</f>
        <v>2.044025830069606E-3</v>
      </c>
      <c r="AC3" s="4">
        <f t="shared" ref="AC3:AC66" si="7">SUM(AA3,AB3)</f>
        <v>2.6753338275531295E-3</v>
      </c>
      <c r="AD3" s="4" t="s">
        <v>97</v>
      </c>
      <c r="AF3" s="4" t="s">
        <v>78</v>
      </c>
    </row>
    <row r="4" spans="1:32" s="4" customFormat="1" ht="15.75" x14ac:dyDescent="0.2">
      <c r="A4" s="4">
        <v>3</v>
      </c>
      <c r="B4" s="4">
        <v>1</v>
      </c>
      <c r="C4" s="4" t="s">
        <v>2</v>
      </c>
      <c r="D4" s="4" t="s">
        <v>79</v>
      </c>
      <c r="E4" s="4" t="s">
        <v>80</v>
      </c>
      <c r="F4" s="4" t="s">
        <v>64</v>
      </c>
      <c r="G4" s="4" t="s">
        <v>168</v>
      </c>
      <c r="H4" s="4" t="s">
        <v>94</v>
      </c>
      <c r="I4" s="4" t="s">
        <v>81</v>
      </c>
      <c r="J4" s="4">
        <v>1</v>
      </c>
      <c r="K4" s="4" t="s">
        <v>358</v>
      </c>
      <c r="L4" s="4">
        <v>5</v>
      </c>
      <c r="M4" s="4">
        <v>9.70824</v>
      </c>
      <c r="N4" s="4">
        <v>0.94923999999999964</v>
      </c>
      <c r="O4" s="4">
        <f t="shared" si="1"/>
        <v>2.1225651669618997</v>
      </c>
      <c r="P4" s="4">
        <v>5</v>
      </c>
      <c r="Q4" s="4">
        <v>10.497909999999999</v>
      </c>
      <c r="R4" s="4">
        <v>0.4746200000000016</v>
      </c>
      <c r="S4" s="4">
        <f t="shared" si="2"/>
        <v>1.0612825834809538</v>
      </c>
      <c r="T4" s="4">
        <v>5</v>
      </c>
      <c r="U4" s="4" t="s">
        <v>84</v>
      </c>
      <c r="V4" s="4">
        <v>375</v>
      </c>
      <c r="W4" s="4">
        <f t="shared" si="0"/>
        <v>0.375</v>
      </c>
      <c r="X4" s="4" t="str">
        <f t="shared" si="3"/>
        <v>Low</v>
      </c>
      <c r="Y4" s="4" t="s">
        <v>90</v>
      </c>
      <c r="Z4" s="4">
        <f t="shared" si="4"/>
        <v>-7.8201180294186365E-2</v>
      </c>
      <c r="AA4" s="4">
        <f t="shared" si="5"/>
        <v>9.56028970993094E-3</v>
      </c>
      <c r="AB4" s="4">
        <f t="shared" si="6"/>
        <v>2.044025830069606E-3</v>
      </c>
      <c r="AC4" s="4">
        <f t="shared" si="7"/>
        <v>1.1604315540000546E-2</v>
      </c>
      <c r="AD4" s="4" t="s">
        <v>97</v>
      </c>
      <c r="AF4" s="4" t="s">
        <v>78</v>
      </c>
    </row>
    <row r="5" spans="1:32" s="4" customFormat="1" ht="15.75" x14ac:dyDescent="0.2">
      <c r="A5" s="4">
        <v>4</v>
      </c>
      <c r="B5" s="4">
        <v>1</v>
      </c>
      <c r="C5" s="4" t="s">
        <v>2</v>
      </c>
      <c r="D5" s="4" t="s">
        <v>79</v>
      </c>
      <c r="E5" s="4" t="s">
        <v>80</v>
      </c>
      <c r="F5" s="4" t="s">
        <v>64</v>
      </c>
      <c r="G5" s="4" t="s">
        <v>168</v>
      </c>
      <c r="H5" s="4" t="s">
        <v>94</v>
      </c>
      <c r="I5" s="4" t="s">
        <v>81</v>
      </c>
      <c r="J5" s="4">
        <v>1</v>
      </c>
      <c r="K5" s="4" t="s">
        <v>358</v>
      </c>
      <c r="L5" s="4">
        <v>5</v>
      </c>
      <c r="M5" s="4">
        <v>9.6632300000000004</v>
      </c>
      <c r="N5" s="4">
        <v>0.72011999999999965</v>
      </c>
      <c r="O5" s="4">
        <f t="shared" si="1"/>
        <v>1.6102372719571478</v>
      </c>
      <c r="P5" s="4">
        <v>5</v>
      </c>
      <c r="Q5" s="4">
        <v>10.497909999999999</v>
      </c>
      <c r="R5" s="4">
        <v>0.4746200000000016</v>
      </c>
      <c r="S5" s="4">
        <f t="shared" si="2"/>
        <v>1.0612825834809538</v>
      </c>
      <c r="T5" s="4">
        <v>5</v>
      </c>
      <c r="U5" s="4" t="s">
        <v>85</v>
      </c>
      <c r="V5" s="4">
        <v>750</v>
      </c>
      <c r="W5" s="4">
        <f t="shared" si="0"/>
        <v>0.75</v>
      </c>
      <c r="X5" s="4" t="str">
        <f t="shared" si="3"/>
        <v>Low</v>
      </c>
      <c r="Y5" s="4" t="s">
        <v>90</v>
      </c>
      <c r="Z5" s="4">
        <f t="shared" si="4"/>
        <v>-8.284822886607518E-2</v>
      </c>
      <c r="AA5" s="4">
        <f t="shared" si="5"/>
        <v>5.5534787259160388E-3</v>
      </c>
      <c r="AB5" s="4">
        <f t="shared" si="6"/>
        <v>2.044025830069606E-3</v>
      </c>
      <c r="AC5" s="4">
        <f t="shared" si="7"/>
        <v>7.5975045559856444E-3</v>
      </c>
      <c r="AD5" s="4" t="s">
        <v>97</v>
      </c>
      <c r="AF5" s="4" t="s">
        <v>78</v>
      </c>
    </row>
    <row r="6" spans="1:32" s="4" customFormat="1" ht="15.75" x14ac:dyDescent="0.2">
      <c r="A6" s="4">
        <v>5</v>
      </c>
      <c r="B6" s="4">
        <v>1</v>
      </c>
      <c r="C6" s="4" t="s">
        <v>2</v>
      </c>
      <c r="D6" s="4" t="s">
        <v>79</v>
      </c>
      <c r="E6" s="4" t="s">
        <v>80</v>
      </c>
      <c r="F6" s="4" t="s">
        <v>64</v>
      </c>
      <c r="G6" s="4" t="s">
        <v>168</v>
      </c>
      <c r="H6" s="4" t="s">
        <v>94</v>
      </c>
      <c r="I6" s="4" t="s">
        <v>81</v>
      </c>
      <c r="J6" s="4">
        <v>1</v>
      </c>
      <c r="K6" s="4" t="s">
        <v>358</v>
      </c>
      <c r="L6" s="4">
        <v>5</v>
      </c>
      <c r="M6" s="4">
        <v>5.6978799999999996</v>
      </c>
      <c r="N6" s="4">
        <v>0.15230999999999995</v>
      </c>
      <c r="O6" s="4">
        <f t="shared" si="1"/>
        <v>0.34057551365299288</v>
      </c>
      <c r="P6" s="4">
        <v>5</v>
      </c>
      <c r="Q6" s="4">
        <v>8.7543699999999998</v>
      </c>
      <c r="R6" s="4">
        <v>0.25725000000000087</v>
      </c>
      <c r="S6" s="4">
        <f t="shared" si="2"/>
        <v>0.57522848721182285</v>
      </c>
      <c r="T6" s="4">
        <v>5</v>
      </c>
      <c r="U6" s="4" t="s">
        <v>85</v>
      </c>
      <c r="V6" s="4">
        <v>750</v>
      </c>
      <c r="W6" s="4">
        <f t="shared" si="0"/>
        <v>0.75</v>
      </c>
      <c r="X6" s="4" t="str">
        <f t="shared" si="3"/>
        <v>Low</v>
      </c>
      <c r="Y6" s="4" t="s">
        <v>90</v>
      </c>
      <c r="Z6" s="4">
        <f t="shared" si="4"/>
        <v>-0.42945882843511995</v>
      </c>
      <c r="AA6" s="4">
        <f t="shared" si="5"/>
        <v>7.1454607688920793E-4</v>
      </c>
      <c r="AB6" s="4">
        <f t="shared" si="6"/>
        <v>8.6349727419866157E-4</v>
      </c>
      <c r="AC6" s="4">
        <f t="shared" si="7"/>
        <v>1.5780433510878696E-3</v>
      </c>
      <c r="AD6" s="4" t="s">
        <v>97</v>
      </c>
      <c r="AF6" s="4" t="s">
        <v>95</v>
      </c>
    </row>
    <row r="7" spans="1:32" s="6" customFormat="1" ht="15.75" x14ac:dyDescent="0.2">
      <c r="A7" s="6">
        <v>6</v>
      </c>
      <c r="B7" s="6">
        <v>2</v>
      </c>
      <c r="C7" s="6" t="s">
        <v>4</v>
      </c>
      <c r="D7" s="6" t="s">
        <v>98</v>
      </c>
      <c r="E7" s="6" t="s">
        <v>115</v>
      </c>
      <c r="F7" s="6" t="s">
        <v>64</v>
      </c>
      <c r="G7" s="6" t="s">
        <v>107</v>
      </c>
      <c r="H7" s="6" t="s">
        <v>93</v>
      </c>
      <c r="I7" s="6" t="s">
        <v>81</v>
      </c>
      <c r="J7" s="6">
        <v>2</v>
      </c>
      <c r="K7" s="6" t="s">
        <v>358</v>
      </c>
      <c r="L7" s="6">
        <v>5</v>
      </c>
      <c r="M7" s="6">
        <v>0.72911999999999999</v>
      </c>
      <c r="N7" s="6">
        <v>8.3199999999999941E-3</v>
      </c>
      <c r="O7" s="6">
        <f t="shared" si="1"/>
        <v>1.8604085572798239E-2</v>
      </c>
      <c r="P7" s="6">
        <v>5</v>
      </c>
      <c r="Q7" s="6">
        <v>0.72357000000000005</v>
      </c>
      <c r="R7" s="6">
        <v>2.4269999999999903E-2</v>
      </c>
      <c r="S7" s="6">
        <f t="shared" si="2"/>
        <v>5.426936981391968E-2</v>
      </c>
      <c r="T7" s="6">
        <v>5</v>
      </c>
      <c r="U7" s="6" t="s">
        <v>116</v>
      </c>
      <c r="V7" s="6">
        <v>50</v>
      </c>
      <c r="W7" s="6">
        <f t="shared" si="0"/>
        <v>0.05</v>
      </c>
      <c r="X7" s="6" t="str">
        <f t="shared" si="3"/>
        <v>Low</v>
      </c>
      <c r="Y7" s="6" t="s">
        <v>113</v>
      </c>
      <c r="Z7" s="6">
        <f t="shared" si="4"/>
        <v>7.6410342237133435E-3</v>
      </c>
      <c r="AA7" s="6">
        <f t="shared" si="5"/>
        <v>1.3021128659297096E-4</v>
      </c>
      <c r="AB7" s="6">
        <f t="shared" si="6"/>
        <v>1.1250671602510149E-3</v>
      </c>
      <c r="AC7" s="6">
        <f t="shared" si="7"/>
        <v>1.2552784468439859E-3</v>
      </c>
      <c r="AD7" s="6" t="s">
        <v>114</v>
      </c>
      <c r="AF7" s="6" t="s">
        <v>95</v>
      </c>
    </row>
    <row r="8" spans="1:32" s="6" customFormat="1" ht="15.75" x14ac:dyDescent="0.2">
      <c r="A8" s="6">
        <v>7</v>
      </c>
      <c r="B8" s="6">
        <v>2</v>
      </c>
      <c r="C8" s="6" t="s">
        <v>4</v>
      </c>
      <c r="D8" s="6" t="s">
        <v>98</v>
      </c>
      <c r="E8" s="6" t="s">
        <v>115</v>
      </c>
      <c r="F8" s="6" t="s">
        <v>64</v>
      </c>
      <c r="G8" s="6" t="s">
        <v>73</v>
      </c>
      <c r="H8" s="6" t="s">
        <v>93</v>
      </c>
      <c r="I8" s="6" t="s">
        <v>81</v>
      </c>
      <c r="J8" s="6">
        <v>2</v>
      </c>
      <c r="K8" s="6" t="s">
        <v>358</v>
      </c>
      <c r="L8" s="6">
        <v>5</v>
      </c>
      <c r="M8" s="6">
        <v>1.0869200000000001</v>
      </c>
      <c r="N8" s="6">
        <v>2.7039999999999953E-2</v>
      </c>
      <c r="O8" s="6">
        <f t="shared" si="1"/>
        <v>6.0463278111594208E-2</v>
      </c>
      <c r="P8" s="6">
        <v>5</v>
      </c>
      <c r="Q8" s="6">
        <v>1.04115</v>
      </c>
      <c r="R8" s="6">
        <v>3.5369999999999902E-2</v>
      </c>
      <c r="S8" s="6">
        <f t="shared" si="2"/>
        <v>7.9089724364167349E-2</v>
      </c>
      <c r="T8" s="6">
        <v>5</v>
      </c>
      <c r="U8" s="6" t="s">
        <v>116</v>
      </c>
      <c r="V8" s="6">
        <v>50</v>
      </c>
      <c r="W8" s="6">
        <f t="shared" si="0"/>
        <v>0.05</v>
      </c>
      <c r="X8" s="6" t="str">
        <f t="shared" si="3"/>
        <v>Low</v>
      </c>
      <c r="Y8" s="6" t="s">
        <v>113</v>
      </c>
      <c r="Z8" s="6">
        <f t="shared" si="4"/>
        <v>4.3022136902993086E-2</v>
      </c>
      <c r="AA8" s="6">
        <f t="shared" si="5"/>
        <v>6.1889676740405758E-4</v>
      </c>
      <c r="AB8" s="6">
        <f t="shared" si="6"/>
        <v>1.1541001905018592E-3</v>
      </c>
      <c r="AC8" s="6">
        <f t="shared" si="7"/>
        <v>1.7729969579059167E-3</v>
      </c>
      <c r="AD8" s="6" t="s">
        <v>114</v>
      </c>
      <c r="AF8" s="6" t="s">
        <v>95</v>
      </c>
    </row>
    <row r="9" spans="1:32" s="9" customFormat="1" ht="15.75" x14ac:dyDescent="0.2">
      <c r="A9" s="9">
        <v>8</v>
      </c>
      <c r="B9" s="9">
        <v>3</v>
      </c>
      <c r="C9" s="9" t="s">
        <v>161</v>
      </c>
      <c r="D9" s="9" t="s">
        <v>171</v>
      </c>
      <c r="E9" s="9" t="s">
        <v>172</v>
      </c>
      <c r="F9" s="9" t="s">
        <v>162</v>
      </c>
      <c r="G9" s="9" t="s">
        <v>168</v>
      </c>
      <c r="H9" s="9" t="s">
        <v>167</v>
      </c>
      <c r="I9" s="9" t="s">
        <v>173</v>
      </c>
      <c r="J9" s="9">
        <v>3</v>
      </c>
      <c r="K9" s="9" t="s">
        <v>169</v>
      </c>
      <c r="L9" s="9">
        <v>10</v>
      </c>
      <c r="M9" s="9">
        <v>93.116640000000004</v>
      </c>
      <c r="N9" s="9">
        <v>2.5383799999999894</v>
      </c>
      <c r="O9" s="9">
        <f t="shared" si="1"/>
        <v>8.0270623670181784</v>
      </c>
      <c r="P9" s="9">
        <v>10</v>
      </c>
      <c r="Q9" s="9">
        <v>99.614909999999995</v>
      </c>
      <c r="R9" s="9">
        <v>3.350670000000008</v>
      </c>
      <c r="S9" s="9">
        <f t="shared" si="2"/>
        <v>10.595748887596409</v>
      </c>
      <c r="T9" s="9">
        <v>10</v>
      </c>
      <c r="U9" s="9">
        <v>2.6037500000000002E-3</v>
      </c>
      <c r="V9" s="9">
        <v>2.6037500000000002E-3</v>
      </c>
      <c r="W9" s="9">
        <f>V9 * 1000</f>
        <v>2.6037500000000002</v>
      </c>
      <c r="X9" s="9" t="str">
        <f t="shared" si="3"/>
        <v>Medium</v>
      </c>
      <c r="Y9" s="9" t="s">
        <v>164</v>
      </c>
      <c r="Z9" s="9">
        <f t="shared" si="4"/>
        <v>-6.745895132407391E-2</v>
      </c>
      <c r="AA9" s="9">
        <f t="shared" si="5"/>
        <v>7.4311954054615654E-4</v>
      </c>
      <c r="AB9" s="9">
        <f t="shared" si="6"/>
        <v>1.1313959522772617E-3</v>
      </c>
      <c r="AC9" s="9">
        <f t="shared" si="7"/>
        <v>1.8745154928234181E-3</v>
      </c>
      <c r="AD9" s="9" t="s">
        <v>163</v>
      </c>
      <c r="AF9" s="9" t="s">
        <v>170</v>
      </c>
    </row>
    <row r="10" spans="1:32" s="9" customFormat="1" ht="15.75" x14ac:dyDescent="0.2">
      <c r="A10" s="9">
        <v>9</v>
      </c>
      <c r="B10" s="9">
        <v>3</v>
      </c>
      <c r="C10" s="9" t="s">
        <v>161</v>
      </c>
      <c r="D10" s="9" t="s">
        <v>171</v>
      </c>
      <c r="E10" s="9" t="s">
        <v>172</v>
      </c>
      <c r="F10" s="9" t="s">
        <v>162</v>
      </c>
      <c r="G10" s="9" t="s">
        <v>168</v>
      </c>
      <c r="H10" s="9" t="s">
        <v>167</v>
      </c>
      <c r="I10" s="9" t="s">
        <v>173</v>
      </c>
      <c r="J10" s="9">
        <v>3</v>
      </c>
      <c r="K10" s="9" t="s">
        <v>169</v>
      </c>
      <c r="L10" s="9">
        <v>10</v>
      </c>
      <c r="M10" s="9">
        <v>94.690439999999995</v>
      </c>
      <c r="N10" s="9">
        <v>1.5738000000000056</v>
      </c>
      <c r="O10" s="9">
        <f t="shared" si="1"/>
        <v>4.9767925815730134</v>
      </c>
      <c r="P10" s="9">
        <v>10</v>
      </c>
      <c r="Q10" s="9">
        <v>99.817980000000006</v>
      </c>
      <c r="R10" s="9">
        <v>1.9799399999999991</v>
      </c>
      <c r="S10" s="9">
        <f t="shared" si="2"/>
        <v>6.2611200304737791</v>
      </c>
      <c r="T10" s="9">
        <v>10</v>
      </c>
      <c r="U10" s="9">
        <v>2.6037500000000002E-3</v>
      </c>
      <c r="V10" s="9">
        <v>2.6037500000000002E-3</v>
      </c>
      <c r="W10" s="9">
        <f t="shared" ref="W10:W23" si="8">V10 * 1000</f>
        <v>2.6037500000000002</v>
      </c>
      <c r="X10" s="9" t="str">
        <f t="shared" si="3"/>
        <v>Medium</v>
      </c>
      <c r="Y10" s="9" t="s">
        <v>165</v>
      </c>
      <c r="Z10" s="9">
        <f t="shared" si="4"/>
        <v>-5.2735282684525216E-2</v>
      </c>
      <c r="AA10" s="9">
        <f t="shared" si="5"/>
        <v>2.7624015736480459E-4</v>
      </c>
      <c r="AB10" s="9">
        <f t="shared" si="6"/>
        <v>3.9344724215926606E-4</v>
      </c>
      <c r="AC10" s="9">
        <f t="shared" si="7"/>
        <v>6.696873995240707E-4</v>
      </c>
      <c r="AD10" s="9" t="s">
        <v>163</v>
      </c>
      <c r="AF10" s="9" t="s">
        <v>170</v>
      </c>
    </row>
    <row r="11" spans="1:32" s="9" customFormat="1" ht="15.75" x14ac:dyDescent="0.2">
      <c r="A11" s="9">
        <v>10</v>
      </c>
      <c r="B11" s="9">
        <v>3</v>
      </c>
      <c r="C11" s="9" t="s">
        <v>161</v>
      </c>
      <c r="D11" s="9" t="s">
        <v>171</v>
      </c>
      <c r="E11" s="9" t="s">
        <v>172</v>
      </c>
      <c r="F11" s="9" t="s">
        <v>162</v>
      </c>
      <c r="G11" s="9" t="s">
        <v>168</v>
      </c>
      <c r="H11" s="9" t="s">
        <v>167</v>
      </c>
      <c r="I11" s="9" t="s">
        <v>173</v>
      </c>
      <c r="J11" s="9">
        <v>3</v>
      </c>
      <c r="K11" s="9" t="s">
        <v>169</v>
      </c>
      <c r="L11" s="9">
        <v>10</v>
      </c>
      <c r="M11" s="9">
        <v>95.858090000000004</v>
      </c>
      <c r="N11" s="9">
        <v>2.7922299999999893</v>
      </c>
      <c r="O11" s="9">
        <f t="shared" si="1"/>
        <v>8.8298065510519201</v>
      </c>
      <c r="P11" s="9">
        <v>10</v>
      </c>
      <c r="Q11" s="9">
        <v>100.02105</v>
      </c>
      <c r="R11" s="9">
        <v>1.3707299999999947</v>
      </c>
      <c r="S11" s="9">
        <f t="shared" si="2"/>
        <v>4.3346288571225857</v>
      </c>
      <c r="T11" s="9">
        <v>10</v>
      </c>
      <c r="U11" s="9">
        <v>2.6037500000000002E-3</v>
      </c>
      <c r="V11" s="9">
        <v>2.6037500000000002E-3</v>
      </c>
      <c r="W11" s="9">
        <f t="shared" si="8"/>
        <v>2.6037500000000002</v>
      </c>
      <c r="X11" s="9" t="str">
        <f t="shared" si="3"/>
        <v>Medium</v>
      </c>
      <c r="Y11" s="9" t="s">
        <v>166</v>
      </c>
      <c r="Z11" s="9">
        <f t="shared" si="4"/>
        <v>-4.2511795193558216E-2</v>
      </c>
      <c r="AA11" s="9">
        <f t="shared" si="5"/>
        <v>8.4848630147381571E-4</v>
      </c>
      <c r="AB11" s="9">
        <f t="shared" si="6"/>
        <v>1.8781099653850363E-4</v>
      </c>
      <c r="AC11" s="9">
        <f t="shared" si="7"/>
        <v>1.0362972980123193E-3</v>
      </c>
      <c r="AD11" s="9" t="s">
        <v>163</v>
      </c>
      <c r="AF11" s="9" t="s">
        <v>170</v>
      </c>
    </row>
    <row r="12" spans="1:32" s="9" customFormat="1" ht="15.75" x14ac:dyDescent="0.2">
      <c r="A12" s="9">
        <v>11</v>
      </c>
      <c r="B12" s="9">
        <v>3</v>
      </c>
      <c r="C12" s="9" t="s">
        <v>161</v>
      </c>
      <c r="D12" s="9" t="s">
        <v>171</v>
      </c>
      <c r="E12" s="9" t="s">
        <v>172</v>
      </c>
      <c r="F12" s="9" t="s">
        <v>162</v>
      </c>
      <c r="G12" s="9" t="s">
        <v>168</v>
      </c>
      <c r="H12" s="9" t="s">
        <v>167</v>
      </c>
      <c r="I12" s="9" t="s">
        <v>173</v>
      </c>
      <c r="J12" s="9">
        <v>3</v>
      </c>
      <c r="K12" s="9" t="s">
        <v>169</v>
      </c>
      <c r="L12" s="9">
        <v>10</v>
      </c>
      <c r="M12" s="9">
        <v>94.893510000000006</v>
      </c>
      <c r="N12" s="9">
        <v>2.3353099999999927</v>
      </c>
      <c r="O12" s="9">
        <f t="shared" si="1"/>
        <v>7.3848986425677952</v>
      </c>
      <c r="P12" s="9">
        <v>10</v>
      </c>
      <c r="Q12" s="9">
        <v>99.614909999999995</v>
      </c>
      <c r="R12" s="9">
        <v>3.350670000000008</v>
      </c>
      <c r="S12" s="9">
        <f t="shared" si="2"/>
        <v>10.595748887596409</v>
      </c>
      <c r="T12" s="9">
        <v>10</v>
      </c>
      <c r="U12" s="9">
        <v>2.6037500000000002E-2</v>
      </c>
      <c r="V12" s="9">
        <v>2.6037500000000002E-2</v>
      </c>
      <c r="W12" s="9">
        <f t="shared" si="8"/>
        <v>26.037500000000001</v>
      </c>
      <c r="X12" s="9" t="str">
        <f t="shared" si="3"/>
        <v>High</v>
      </c>
      <c r="Y12" s="9" t="s">
        <v>164</v>
      </c>
      <c r="Z12" s="9">
        <f t="shared" si="4"/>
        <v>-4.8556536681262044E-2</v>
      </c>
      <c r="AA12" s="9">
        <f t="shared" si="5"/>
        <v>6.0564209919146514E-4</v>
      </c>
      <c r="AB12" s="9">
        <f t="shared" si="6"/>
        <v>1.1313959522772617E-3</v>
      </c>
      <c r="AC12" s="9">
        <f t="shared" si="7"/>
        <v>1.7370380514687268E-3</v>
      </c>
      <c r="AD12" s="9" t="s">
        <v>163</v>
      </c>
      <c r="AF12" s="9" t="s">
        <v>170</v>
      </c>
    </row>
    <row r="13" spans="1:32" s="9" customFormat="1" ht="15.75" x14ac:dyDescent="0.2">
      <c r="A13" s="9">
        <v>12</v>
      </c>
      <c r="B13" s="9">
        <v>3</v>
      </c>
      <c r="C13" s="9" t="s">
        <v>161</v>
      </c>
      <c r="D13" s="9" t="s">
        <v>171</v>
      </c>
      <c r="E13" s="9" t="s">
        <v>172</v>
      </c>
      <c r="F13" s="9" t="s">
        <v>162</v>
      </c>
      <c r="G13" s="9" t="s">
        <v>168</v>
      </c>
      <c r="H13" s="9" t="s">
        <v>167</v>
      </c>
      <c r="I13" s="9" t="s">
        <v>173</v>
      </c>
      <c r="J13" s="9">
        <v>3</v>
      </c>
      <c r="K13" s="9" t="s">
        <v>169</v>
      </c>
      <c r="L13" s="9">
        <v>10</v>
      </c>
      <c r="M13" s="9">
        <v>96.264240000000001</v>
      </c>
      <c r="N13" s="9">
        <v>1.7768700000000024</v>
      </c>
      <c r="O13" s="9">
        <f t="shared" si="1"/>
        <v>5.6189563060233958</v>
      </c>
      <c r="P13" s="9">
        <v>10</v>
      </c>
      <c r="Q13" s="9">
        <v>99.817980000000006</v>
      </c>
      <c r="R13" s="9">
        <v>1.9799399999999991</v>
      </c>
      <c r="S13" s="9">
        <f t="shared" si="2"/>
        <v>6.2611200304737791</v>
      </c>
      <c r="T13" s="9">
        <v>10</v>
      </c>
      <c r="U13" s="9">
        <v>2.6037500000000002E-2</v>
      </c>
      <c r="V13" s="9">
        <v>2.6037500000000002E-2</v>
      </c>
      <c r="W13" s="9">
        <f t="shared" si="8"/>
        <v>26.037500000000001</v>
      </c>
      <c r="X13" s="9" t="str">
        <f t="shared" si="3"/>
        <v>High</v>
      </c>
      <c r="Y13" s="9" t="s">
        <v>165</v>
      </c>
      <c r="Z13" s="9">
        <f t="shared" si="4"/>
        <v>-3.625141713453002E-2</v>
      </c>
      <c r="AA13" s="9">
        <f t="shared" si="5"/>
        <v>3.4070722009706719E-4</v>
      </c>
      <c r="AB13" s="9">
        <f t="shared" si="6"/>
        <v>3.9344724215926606E-4</v>
      </c>
      <c r="AC13" s="9">
        <f t="shared" si="7"/>
        <v>7.3415446225633325E-4</v>
      </c>
      <c r="AD13" s="9" t="s">
        <v>163</v>
      </c>
      <c r="AF13" s="9" t="s">
        <v>170</v>
      </c>
    </row>
    <row r="14" spans="1:32" s="9" customFormat="1" ht="15.75" x14ac:dyDescent="0.2">
      <c r="A14" s="9">
        <v>13</v>
      </c>
      <c r="B14" s="9">
        <v>3</v>
      </c>
      <c r="C14" s="9" t="s">
        <v>161</v>
      </c>
      <c r="D14" s="9" t="s">
        <v>171</v>
      </c>
      <c r="E14" s="9" t="s">
        <v>172</v>
      </c>
      <c r="F14" s="9" t="s">
        <v>162</v>
      </c>
      <c r="G14" s="9" t="s">
        <v>168</v>
      </c>
      <c r="H14" s="9" t="s">
        <v>167</v>
      </c>
      <c r="I14" s="9" t="s">
        <v>173</v>
      </c>
      <c r="J14" s="9">
        <v>3</v>
      </c>
      <c r="K14" s="9" t="s">
        <v>169</v>
      </c>
      <c r="L14" s="9">
        <v>10</v>
      </c>
      <c r="M14" s="9">
        <v>96.873450000000005</v>
      </c>
      <c r="N14" s="9">
        <v>1.7768699999999882</v>
      </c>
      <c r="O14" s="9">
        <f t="shared" si="1"/>
        <v>5.6189563060233514</v>
      </c>
      <c r="P14" s="9">
        <v>10</v>
      </c>
      <c r="Q14" s="9">
        <v>100.02105</v>
      </c>
      <c r="R14" s="9">
        <v>1.3707299999999947</v>
      </c>
      <c r="S14" s="9">
        <f t="shared" si="2"/>
        <v>4.3346288571225857</v>
      </c>
      <c r="T14" s="9">
        <v>10</v>
      </c>
      <c r="U14" s="9">
        <v>2.6037500000000002E-2</v>
      </c>
      <c r="V14" s="9">
        <v>2.6037500000000002E-2</v>
      </c>
      <c r="W14" s="9">
        <f t="shared" si="8"/>
        <v>26.037500000000001</v>
      </c>
      <c r="X14" s="9" t="str">
        <f t="shared" si="3"/>
        <v>High</v>
      </c>
      <c r="Y14" s="9" t="s">
        <v>166</v>
      </c>
      <c r="Z14" s="9">
        <f t="shared" si="4"/>
        <v>-3.1975176290565205E-2</v>
      </c>
      <c r="AA14" s="9">
        <f t="shared" si="5"/>
        <v>3.3643546978496776E-4</v>
      </c>
      <c r="AB14" s="9">
        <f t="shared" si="6"/>
        <v>1.8781099653850363E-4</v>
      </c>
      <c r="AC14" s="9">
        <f t="shared" si="7"/>
        <v>5.242464663234714E-4</v>
      </c>
      <c r="AD14" s="9" t="s">
        <v>163</v>
      </c>
      <c r="AF14" s="9" t="s">
        <v>170</v>
      </c>
    </row>
    <row r="15" spans="1:32" s="9" customFormat="1" ht="15.75" x14ac:dyDescent="0.2">
      <c r="A15" s="9">
        <v>14</v>
      </c>
      <c r="B15" s="9">
        <v>3</v>
      </c>
      <c r="C15" s="9" t="s">
        <v>161</v>
      </c>
      <c r="D15" s="9" t="s">
        <v>171</v>
      </c>
      <c r="E15" s="9" t="s">
        <v>172</v>
      </c>
      <c r="F15" s="9" t="s">
        <v>162</v>
      </c>
      <c r="G15" s="9" t="s">
        <v>168</v>
      </c>
      <c r="H15" s="9" t="s">
        <v>167</v>
      </c>
      <c r="I15" s="9" t="s">
        <v>173</v>
      </c>
      <c r="J15" s="9">
        <v>3</v>
      </c>
      <c r="K15" s="9" t="s">
        <v>169</v>
      </c>
      <c r="L15" s="9">
        <v>10</v>
      </c>
      <c r="M15" s="9">
        <v>84.638419999999996</v>
      </c>
      <c r="N15" s="9">
        <v>3.1475999999999971</v>
      </c>
      <c r="O15" s="9">
        <f t="shared" si="1"/>
        <v>9.9535851631459824</v>
      </c>
      <c r="P15" s="9">
        <v>10</v>
      </c>
      <c r="Q15" s="9">
        <v>99.614909999999995</v>
      </c>
      <c r="R15" s="9">
        <v>3.350670000000008</v>
      </c>
      <c r="S15" s="9">
        <f t="shared" si="2"/>
        <v>10.595748887596409</v>
      </c>
      <c r="T15" s="9">
        <v>10</v>
      </c>
      <c r="U15" s="9">
        <v>0.26037500000000002</v>
      </c>
      <c r="V15" s="9">
        <v>0.26037500000000002</v>
      </c>
      <c r="W15" s="9">
        <f t="shared" si="8"/>
        <v>260.375</v>
      </c>
      <c r="X15" s="9" t="str">
        <f t="shared" si="3"/>
        <v>High</v>
      </c>
      <c r="Y15" s="9" t="s">
        <v>164</v>
      </c>
      <c r="Z15" s="9">
        <f t="shared" si="4"/>
        <v>-0.16292355154302002</v>
      </c>
      <c r="AA15" s="9">
        <f t="shared" si="5"/>
        <v>1.3830057261559605E-3</v>
      </c>
      <c r="AB15" s="9">
        <f t="shared" si="6"/>
        <v>1.1313959522772617E-3</v>
      </c>
      <c r="AC15" s="9">
        <f t="shared" si="7"/>
        <v>2.5144016784332222E-3</v>
      </c>
      <c r="AD15" s="9" t="s">
        <v>163</v>
      </c>
      <c r="AF15" s="9" t="s">
        <v>170</v>
      </c>
    </row>
    <row r="16" spans="1:32" s="9" customFormat="1" ht="15.75" x14ac:dyDescent="0.2">
      <c r="A16" s="9">
        <v>15</v>
      </c>
      <c r="B16" s="9">
        <v>3</v>
      </c>
      <c r="C16" s="9" t="s">
        <v>161</v>
      </c>
      <c r="D16" s="9" t="s">
        <v>171</v>
      </c>
      <c r="E16" s="9" t="s">
        <v>172</v>
      </c>
      <c r="F16" s="9" t="s">
        <v>162</v>
      </c>
      <c r="G16" s="9" t="s">
        <v>168</v>
      </c>
      <c r="H16" s="9" t="s">
        <v>167</v>
      </c>
      <c r="I16" s="9" t="s">
        <v>173</v>
      </c>
      <c r="J16" s="9">
        <v>3</v>
      </c>
      <c r="K16" s="9" t="s">
        <v>169</v>
      </c>
      <c r="L16" s="9">
        <v>10</v>
      </c>
      <c r="M16" s="9">
        <v>90.172110000000004</v>
      </c>
      <c r="N16" s="9">
        <v>1.7261000000000024</v>
      </c>
      <c r="O16" s="9">
        <f t="shared" si="1"/>
        <v>5.4584074692166471</v>
      </c>
      <c r="P16" s="9">
        <v>10</v>
      </c>
      <c r="Q16" s="9">
        <v>99.817980000000006</v>
      </c>
      <c r="R16" s="9">
        <v>1.9799399999999991</v>
      </c>
      <c r="S16" s="9">
        <f t="shared" si="2"/>
        <v>6.2611200304737791</v>
      </c>
      <c r="T16" s="9">
        <v>10</v>
      </c>
      <c r="U16" s="9">
        <v>0.26037500000000002</v>
      </c>
      <c r="V16" s="9">
        <v>0.26037500000000002</v>
      </c>
      <c r="W16" s="9">
        <f t="shared" si="8"/>
        <v>260.375</v>
      </c>
      <c r="X16" s="9" t="str">
        <f t="shared" si="3"/>
        <v>High</v>
      </c>
      <c r="Y16" s="9" t="s">
        <v>165</v>
      </c>
      <c r="Z16" s="9">
        <f t="shared" si="4"/>
        <v>-0.10162814992912043</v>
      </c>
      <c r="AA16" s="9">
        <f t="shared" si="5"/>
        <v>3.6642697793373713E-4</v>
      </c>
      <c r="AB16" s="9">
        <f t="shared" si="6"/>
        <v>3.9344724215926606E-4</v>
      </c>
      <c r="AC16" s="9">
        <f t="shared" si="7"/>
        <v>7.5987422009300319E-4</v>
      </c>
      <c r="AD16" s="9" t="s">
        <v>163</v>
      </c>
      <c r="AF16" s="9" t="s">
        <v>170</v>
      </c>
    </row>
    <row r="17" spans="1:32" s="9" customFormat="1" ht="15.75" x14ac:dyDescent="0.2">
      <c r="A17" s="9">
        <v>16</v>
      </c>
      <c r="B17" s="9">
        <v>3</v>
      </c>
      <c r="C17" s="9" t="s">
        <v>161</v>
      </c>
      <c r="D17" s="9" t="s">
        <v>171</v>
      </c>
      <c r="E17" s="9" t="s">
        <v>172</v>
      </c>
      <c r="F17" s="9" t="s">
        <v>162</v>
      </c>
      <c r="G17" s="9" t="s">
        <v>168</v>
      </c>
      <c r="H17" s="9" t="s">
        <v>167</v>
      </c>
      <c r="I17" s="9" t="s">
        <v>173</v>
      </c>
      <c r="J17" s="9">
        <v>3</v>
      </c>
      <c r="K17" s="9" t="s">
        <v>169</v>
      </c>
      <c r="L17" s="9">
        <v>10</v>
      </c>
      <c r="M17" s="9">
        <v>88.547539999999998</v>
      </c>
      <c r="N17" s="9">
        <v>1.7768700000000024</v>
      </c>
      <c r="O17" s="9">
        <f t="shared" si="1"/>
        <v>5.6189563060233958</v>
      </c>
      <c r="P17" s="9">
        <v>10</v>
      </c>
      <c r="Q17" s="9">
        <v>100.02105</v>
      </c>
      <c r="R17" s="9">
        <v>1.3707299999999947</v>
      </c>
      <c r="S17" s="9">
        <f t="shared" si="2"/>
        <v>4.3346288571225857</v>
      </c>
      <c r="T17" s="9">
        <v>10</v>
      </c>
      <c r="U17" s="9">
        <v>0.26037500000000002</v>
      </c>
      <c r="V17" s="9">
        <v>0.26037500000000002</v>
      </c>
      <c r="W17" s="9">
        <f t="shared" si="8"/>
        <v>260.375</v>
      </c>
      <c r="X17" s="9" t="str">
        <f t="shared" si="3"/>
        <v>High</v>
      </c>
      <c r="Y17" s="9" t="s">
        <v>166</v>
      </c>
      <c r="Z17" s="9">
        <f t="shared" si="4"/>
        <v>-0.12184108090786663</v>
      </c>
      <c r="AA17" s="9">
        <f t="shared" si="5"/>
        <v>4.0267837689163054E-4</v>
      </c>
      <c r="AB17" s="9">
        <f t="shared" si="6"/>
        <v>1.8781099653850363E-4</v>
      </c>
      <c r="AC17" s="9">
        <f t="shared" si="7"/>
        <v>5.9048937343013418E-4</v>
      </c>
      <c r="AD17" s="9" t="s">
        <v>163</v>
      </c>
      <c r="AF17" s="9" t="s">
        <v>170</v>
      </c>
    </row>
    <row r="18" spans="1:32" s="9" customFormat="1" ht="15.75" x14ac:dyDescent="0.2">
      <c r="A18" s="9">
        <v>17</v>
      </c>
      <c r="B18" s="9">
        <v>3</v>
      </c>
      <c r="C18" s="9" t="s">
        <v>161</v>
      </c>
      <c r="D18" s="9" t="s">
        <v>171</v>
      </c>
      <c r="E18" s="9" t="s">
        <v>172</v>
      </c>
      <c r="F18" s="9" t="s">
        <v>162</v>
      </c>
      <c r="G18" s="9" t="s">
        <v>168</v>
      </c>
      <c r="H18" s="9" t="s">
        <v>167</v>
      </c>
      <c r="I18" s="9" t="s">
        <v>173</v>
      </c>
      <c r="J18" s="9">
        <v>3</v>
      </c>
      <c r="K18" s="9" t="s">
        <v>169</v>
      </c>
      <c r="L18" s="9">
        <v>10</v>
      </c>
      <c r="M18" s="9">
        <v>85.603009999999998</v>
      </c>
      <c r="N18" s="9">
        <v>2.5891500000000036</v>
      </c>
      <c r="O18" s="9">
        <f t="shared" si="1"/>
        <v>8.1876112038249715</v>
      </c>
      <c r="P18" s="9">
        <v>10</v>
      </c>
      <c r="Q18" s="9">
        <v>99.614909999999995</v>
      </c>
      <c r="R18" s="9">
        <v>3.350670000000008</v>
      </c>
      <c r="S18" s="9">
        <f t="shared" si="2"/>
        <v>10.595748887596409</v>
      </c>
      <c r="T18" s="9">
        <v>10</v>
      </c>
      <c r="U18" s="9">
        <v>1.3018749999999999</v>
      </c>
      <c r="V18" s="9">
        <v>1.3018749999999999</v>
      </c>
      <c r="W18" s="9">
        <f t="shared" si="8"/>
        <v>1301.875</v>
      </c>
      <c r="X18" s="9" t="str">
        <f t="shared" si="3"/>
        <v>High</v>
      </c>
      <c r="Y18" s="9" t="s">
        <v>164</v>
      </c>
      <c r="Z18" s="9">
        <f t="shared" si="4"/>
        <v>-0.1515914061011116</v>
      </c>
      <c r="AA18" s="9">
        <f t="shared" si="5"/>
        <v>9.1482147672924887E-4</v>
      </c>
      <c r="AB18" s="9">
        <f t="shared" si="6"/>
        <v>1.1313959522772617E-3</v>
      </c>
      <c r="AC18" s="9">
        <f t="shared" si="7"/>
        <v>2.0462174290065104E-3</v>
      </c>
      <c r="AD18" s="9" t="s">
        <v>163</v>
      </c>
      <c r="AF18" s="9" t="s">
        <v>170</v>
      </c>
    </row>
    <row r="19" spans="1:32" s="9" customFormat="1" ht="15.75" x14ac:dyDescent="0.2">
      <c r="A19" s="9">
        <v>18</v>
      </c>
      <c r="B19" s="9">
        <v>3</v>
      </c>
      <c r="C19" s="9" t="s">
        <v>161</v>
      </c>
      <c r="D19" s="9" t="s">
        <v>171</v>
      </c>
      <c r="E19" s="9" t="s">
        <v>172</v>
      </c>
      <c r="F19" s="9" t="s">
        <v>162</v>
      </c>
      <c r="G19" s="9" t="s">
        <v>168</v>
      </c>
      <c r="H19" s="9" t="s">
        <v>167</v>
      </c>
      <c r="I19" s="9" t="s">
        <v>173</v>
      </c>
      <c r="J19" s="9">
        <v>3</v>
      </c>
      <c r="K19" s="9" t="s">
        <v>169</v>
      </c>
      <c r="L19" s="9">
        <v>10</v>
      </c>
      <c r="M19" s="9">
        <v>91.339759999999998</v>
      </c>
      <c r="N19" s="9">
        <v>1.7768800000000056</v>
      </c>
      <c r="O19" s="9">
        <f t="shared" si="1"/>
        <v>5.6189879288000082</v>
      </c>
      <c r="P19" s="9">
        <v>10</v>
      </c>
      <c r="Q19" s="9">
        <v>99.817980000000006</v>
      </c>
      <c r="R19" s="9">
        <v>1.9799399999999991</v>
      </c>
      <c r="S19" s="9">
        <f t="shared" si="2"/>
        <v>6.2611200304737791</v>
      </c>
      <c r="T19" s="9">
        <v>10</v>
      </c>
      <c r="U19" s="9">
        <v>1.3018749999999999</v>
      </c>
      <c r="V19" s="9">
        <v>1.3018749999999999</v>
      </c>
      <c r="W19" s="9">
        <f t="shared" si="8"/>
        <v>1301.875</v>
      </c>
      <c r="X19" s="9" t="str">
        <f t="shared" si="3"/>
        <v>High</v>
      </c>
      <c r="Y19" s="9" t="s">
        <v>165</v>
      </c>
      <c r="Z19" s="9">
        <f t="shared" si="4"/>
        <v>-8.8762147203171771E-2</v>
      </c>
      <c r="AA19" s="9">
        <f t="shared" si="5"/>
        <v>3.7843950515533477E-4</v>
      </c>
      <c r="AB19" s="9">
        <f t="shared" si="6"/>
        <v>3.9344724215926606E-4</v>
      </c>
      <c r="AC19" s="9">
        <f t="shared" si="7"/>
        <v>7.7188674731460088E-4</v>
      </c>
      <c r="AD19" s="9" t="s">
        <v>163</v>
      </c>
      <c r="AF19" s="9" t="s">
        <v>170</v>
      </c>
    </row>
    <row r="20" spans="1:32" s="9" customFormat="1" ht="15.75" x14ac:dyDescent="0.2">
      <c r="A20" s="9">
        <v>19</v>
      </c>
      <c r="B20" s="9">
        <v>3</v>
      </c>
      <c r="C20" s="9" t="s">
        <v>161</v>
      </c>
      <c r="D20" s="9" t="s">
        <v>171</v>
      </c>
      <c r="E20" s="9" t="s">
        <v>172</v>
      </c>
      <c r="F20" s="9" t="s">
        <v>162</v>
      </c>
      <c r="G20" s="9" t="s">
        <v>168</v>
      </c>
      <c r="H20" s="9" t="s">
        <v>167</v>
      </c>
      <c r="I20" s="9" t="s">
        <v>173</v>
      </c>
      <c r="J20" s="9">
        <v>3</v>
      </c>
      <c r="K20" s="9" t="s">
        <v>169</v>
      </c>
      <c r="L20" s="9">
        <v>10</v>
      </c>
      <c r="M20" s="9">
        <v>92.101280000000003</v>
      </c>
      <c r="N20" s="9">
        <v>2.3860899999999958</v>
      </c>
      <c r="O20" s="9">
        <f t="shared" si="1"/>
        <v>7.5454791021511554</v>
      </c>
      <c r="P20" s="9">
        <v>10</v>
      </c>
      <c r="Q20" s="9">
        <v>100.02105</v>
      </c>
      <c r="R20" s="9">
        <v>1.3707299999999947</v>
      </c>
      <c r="S20" s="9">
        <f t="shared" si="2"/>
        <v>4.3346288571225857</v>
      </c>
      <c r="T20" s="9">
        <v>10</v>
      </c>
      <c r="U20" s="9">
        <v>1.3018749999999999</v>
      </c>
      <c r="V20" s="9">
        <v>1.3018749999999999</v>
      </c>
      <c r="W20" s="9">
        <f t="shared" si="8"/>
        <v>1301.875</v>
      </c>
      <c r="X20" s="9" t="str">
        <f t="shared" si="3"/>
        <v>High</v>
      </c>
      <c r="Y20" s="9" t="s">
        <v>166</v>
      </c>
      <c r="Z20" s="9">
        <f t="shared" si="4"/>
        <v>-8.2491822734364312E-2</v>
      </c>
      <c r="AA20" s="9">
        <f t="shared" si="5"/>
        <v>6.7118510395762975E-4</v>
      </c>
      <c r="AB20" s="9">
        <f t="shared" si="6"/>
        <v>1.8781099653850363E-4</v>
      </c>
      <c r="AC20" s="9">
        <f t="shared" si="7"/>
        <v>8.5899610049613344E-4</v>
      </c>
      <c r="AD20" s="9" t="s">
        <v>163</v>
      </c>
      <c r="AF20" s="9" t="s">
        <v>170</v>
      </c>
    </row>
    <row r="21" spans="1:32" s="9" customFormat="1" ht="15.75" x14ac:dyDescent="0.2">
      <c r="A21" s="9">
        <v>20</v>
      </c>
      <c r="B21" s="9">
        <v>3</v>
      </c>
      <c r="C21" s="9" t="s">
        <v>161</v>
      </c>
      <c r="D21" s="9" t="s">
        <v>171</v>
      </c>
      <c r="E21" s="9" t="s">
        <v>172</v>
      </c>
      <c r="F21" s="9" t="s">
        <v>162</v>
      </c>
      <c r="G21" s="9" t="s">
        <v>168</v>
      </c>
      <c r="H21" s="9" t="s">
        <v>167</v>
      </c>
      <c r="I21" s="9" t="s">
        <v>173</v>
      </c>
      <c r="J21" s="9">
        <v>3</v>
      </c>
      <c r="K21" s="9" t="s">
        <v>169</v>
      </c>
      <c r="L21" s="9">
        <v>10</v>
      </c>
      <c r="M21" s="9">
        <v>82.658479999999997</v>
      </c>
      <c r="N21" s="9">
        <v>2.9445300000000003</v>
      </c>
      <c r="O21" s="9">
        <f t="shared" si="1"/>
        <v>9.3114214386956</v>
      </c>
      <c r="P21" s="9">
        <v>10</v>
      </c>
      <c r="Q21" s="9">
        <v>99.614909999999995</v>
      </c>
      <c r="R21" s="9">
        <v>3.350670000000008</v>
      </c>
      <c r="S21" s="9">
        <f t="shared" si="2"/>
        <v>10.595748887596409</v>
      </c>
      <c r="T21" s="9">
        <v>10</v>
      </c>
      <c r="U21" s="9">
        <v>2.6037499999999998</v>
      </c>
      <c r="V21" s="9">
        <v>2.6037499999999998</v>
      </c>
      <c r="W21" s="9">
        <f t="shared" si="8"/>
        <v>2603.75</v>
      </c>
      <c r="X21" s="9" t="str">
        <f t="shared" si="3"/>
        <v>High</v>
      </c>
      <c r="Y21" s="9" t="s">
        <v>164</v>
      </c>
      <c r="Z21" s="9">
        <f t="shared" si="4"/>
        <v>-0.1865944318471966</v>
      </c>
      <c r="AA21" s="9">
        <f t="shared" si="5"/>
        <v>1.2689868954288911E-3</v>
      </c>
      <c r="AB21" s="9">
        <f t="shared" si="6"/>
        <v>1.1313959522772617E-3</v>
      </c>
      <c r="AC21" s="9">
        <f t="shared" si="7"/>
        <v>2.4003828477061531E-3</v>
      </c>
      <c r="AD21" s="9" t="s">
        <v>163</v>
      </c>
      <c r="AF21" s="9" t="s">
        <v>170</v>
      </c>
    </row>
    <row r="22" spans="1:32" s="9" customFormat="1" ht="15.75" x14ac:dyDescent="0.2">
      <c r="A22" s="9">
        <v>21</v>
      </c>
      <c r="B22" s="9">
        <v>3</v>
      </c>
      <c r="C22" s="9" t="s">
        <v>161</v>
      </c>
      <c r="D22" s="9" t="s">
        <v>171</v>
      </c>
      <c r="E22" s="9" t="s">
        <v>172</v>
      </c>
      <c r="F22" s="9" t="s">
        <v>162</v>
      </c>
      <c r="G22" s="9" t="s">
        <v>168</v>
      </c>
      <c r="H22" s="9" t="s">
        <v>167</v>
      </c>
      <c r="I22" s="9" t="s">
        <v>173</v>
      </c>
      <c r="J22" s="9">
        <v>3</v>
      </c>
      <c r="K22" s="9" t="s">
        <v>169</v>
      </c>
      <c r="L22" s="9">
        <v>10</v>
      </c>
      <c r="M22" s="9">
        <v>84.993790000000004</v>
      </c>
      <c r="N22" s="9">
        <v>1.9799500000000023</v>
      </c>
      <c r="O22" s="9">
        <f t="shared" si="1"/>
        <v>6.2611516532503906</v>
      </c>
      <c r="P22" s="9">
        <v>10</v>
      </c>
      <c r="Q22" s="9">
        <v>99.817980000000006</v>
      </c>
      <c r="R22" s="9">
        <v>1.9799399999999991</v>
      </c>
      <c r="S22" s="9">
        <f t="shared" si="2"/>
        <v>6.2611200304737791</v>
      </c>
      <c r="T22" s="9">
        <v>10</v>
      </c>
      <c r="U22" s="9">
        <v>2.6037499999999998</v>
      </c>
      <c r="V22" s="9">
        <v>2.6037499999999998</v>
      </c>
      <c r="W22" s="9">
        <f t="shared" si="8"/>
        <v>2603.75</v>
      </c>
      <c r="X22" s="9" t="str">
        <f t="shared" si="3"/>
        <v>High</v>
      </c>
      <c r="Y22" s="9" t="s">
        <v>165</v>
      </c>
      <c r="Z22" s="9">
        <f t="shared" si="4"/>
        <v>-0.16077013241327673</v>
      </c>
      <c r="AA22" s="9">
        <f t="shared" si="5"/>
        <v>5.4266780290270432E-4</v>
      </c>
      <c r="AB22" s="9">
        <f t="shared" si="6"/>
        <v>3.9344724215926606E-4</v>
      </c>
      <c r="AC22" s="9">
        <f t="shared" si="7"/>
        <v>9.3611504506197038E-4</v>
      </c>
      <c r="AD22" s="9" t="s">
        <v>163</v>
      </c>
      <c r="AF22" s="9" t="s">
        <v>170</v>
      </c>
    </row>
    <row r="23" spans="1:32" s="9" customFormat="1" ht="15.75" x14ac:dyDescent="0.2">
      <c r="A23" s="9">
        <v>22</v>
      </c>
      <c r="B23" s="9">
        <v>3</v>
      </c>
      <c r="C23" s="9" t="s">
        <v>161</v>
      </c>
      <c r="D23" s="9" t="s">
        <v>171</v>
      </c>
      <c r="E23" s="9" t="s">
        <v>172</v>
      </c>
      <c r="F23" s="9" t="s">
        <v>162</v>
      </c>
      <c r="G23" s="9" t="s">
        <v>168</v>
      </c>
      <c r="H23" s="9" t="s">
        <v>167</v>
      </c>
      <c r="I23" s="9" t="s">
        <v>173</v>
      </c>
      <c r="J23" s="9">
        <v>3</v>
      </c>
      <c r="K23" s="9" t="s">
        <v>169</v>
      </c>
      <c r="L23" s="9">
        <v>10</v>
      </c>
      <c r="M23" s="9">
        <v>86.415289999999999</v>
      </c>
      <c r="N23" s="9">
        <v>2.5383900000000068</v>
      </c>
      <c r="O23" s="9">
        <f t="shared" si="1"/>
        <v>8.0270939897948352</v>
      </c>
      <c r="P23" s="9">
        <v>10</v>
      </c>
      <c r="Q23" s="9">
        <v>100.02105</v>
      </c>
      <c r="R23" s="9">
        <v>1.3707299999999947</v>
      </c>
      <c r="S23" s="9">
        <f t="shared" si="2"/>
        <v>4.3346288571225857</v>
      </c>
      <c r="T23" s="9">
        <v>10</v>
      </c>
      <c r="U23" s="9">
        <v>2.6037499999999998</v>
      </c>
      <c r="V23" s="9">
        <v>2.6037499999999998</v>
      </c>
      <c r="W23" s="9">
        <f t="shared" si="8"/>
        <v>2603.75</v>
      </c>
      <c r="X23" s="9" t="str">
        <f t="shared" si="3"/>
        <v>High</v>
      </c>
      <c r="Y23" s="9" t="s">
        <v>166</v>
      </c>
      <c r="Z23" s="9">
        <f t="shared" si="4"/>
        <v>-0.14621603609038977</v>
      </c>
      <c r="AA23" s="9">
        <f t="shared" si="5"/>
        <v>8.6285041620323113E-4</v>
      </c>
      <c r="AB23" s="9">
        <f t="shared" si="6"/>
        <v>1.8781099653850363E-4</v>
      </c>
      <c r="AC23" s="9">
        <f t="shared" si="7"/>
        <v>1.0506614127417347E-3</v>
      </c>
      <c r="AD23" s="9" t="s">
        <v>163</v>
      </c>
      <c r="AF23" s="9" t="s">
        <v>170</v>
      </c>
    </row>
    <row r="24" spans="1:32" s="10" customFormat="1" ht="15.75" x14ac:dyDescent="0.2">
      <c r="A24" s="10">
        <v>23</v>
      </c>
      <c r="B24" s="10">
        <v>4</v>
      </c>
      <c r="C24" s="10" t="s">
        <v>176</v>
      </c>
      <c r="D24" s="10" t="s">
        <v>177</v>
      </c>
      <c r="E24" s="10" t="s">
        <v>180</v>
      </c>
      <c r="F24" s="10" t="s">
        <v>178</v>
      </c>
      <c r="G24" s="10" t="s">
        <v>168</v>
      </c>
      <c r="H24" s="10" t="s">
        <v>183</v>
      </c>
      <c r="I24" s="10" t="s">
        <v>173</v>
      </c>
      <c r="J24" s="10">
        <v>4</v>
      </c>
      <c r="K24" s="10" t="s">
        <v>187</v>
      </c>
      <c r="L24" s="10">
        <v>3</v>
      </c>
      <c r="M24" s="10">
        <v>4.5</v>
      </c>
      <c r="N24" s="10">
        <v>7.0000000000000007E-2</v>
      </c>
      <c r="O24" s="10">
        <f xml:space="preserve"> N24*SQRT(L24)</f>
        <v>0.12124355652982141</v>
      </c>
      <c r="P24" s="10">
        <v>3</v>
      </c>
      <c r="Q24" s="10">
        <v>4.5199999999999996</v>
      </c>
      <c r="R24" s="10">
        <v>0.26</v>
      </c>
      <c r="S24" s="10">
        <f xml:space="preserve"> R24*SQRT(P24)</f>
        <v>0.4503332099679081</v>
      </c>
      <c r="T24" s="10">
        <v>3</v>
      </c>
      <c r="U24" s="10" t="s">
        <v>185</v>
      </c>
      <c r="V24" s="10">
        <v>0.25</v>
      </c>
      <c r="W24" s="10">
        <f xml:space="preserve"> (V24 / 1000) / (0.5 / 1000)</f>
        <v>0.5</v>
      </c>
      <c r="X24" s="10" t="str">
        <f t="shared" si="3"/>
        <v>Low</v>
      </c>
      <c r="Y24" s="10" t="s">
        <v>181</v>
      </c>
      <c r="Z24" s="10">
        <f>LN(M24/Q24)</f>
        <v>-4.4345970678656412E-3</v>
      </c>
      <c r="AA24" s="10">
        <f>(O24^2)/(L24*M24^2)</f>
        <v>2.419753086419753E-4</v>
      </c>
      <c r="AB24" s="10">
        <f>(S24^2)/(P24*Q24^2)</f>
        <v>3.3087947372542883E-3</v>
      </c>
      <c r="AC24" s="10">
        <f>SUM(AA24,AB24)</f>
        <v>3.5507700458962638E-3</v>
      </c>
      <c r="AD24" s="10" t="s">
        <v>179</v>
      </c>
      <c r="AF24" s="10" t="s">
        <v>170</v>
      </c>
    </row>
    <row r="25" spans="1:32" s="10" customFormat="1" ht="15.75" x14ac:dyDescent="0.2">
      <c r="A25" s="10">
        <v>24</v>
      </c>
      <c r="B25" s="10">
        <v>4</v>
      </c>
      <c r="C25" s="10" t="s">
        <v>176</v>
      </c>
      <c r="D25" s="10" t="s">
        <v>177</v>
      </c>
      <c r="E25" s="10" t="s">
        <v>180</v>
      </c>
      <c r="F25" s="10" t="s">
        <v>178</v>
      </c>
      <c r="G25" s="10" t="s">
        <v>168</v>
      </c>
      <c r="H25" s="10" t="s">
        <v>300</v>
      </c>
      <c r="I25" s="10" t="s">
        <v>173</v>
      </c>
      <c r="J25" s="10">
        <v>4</v>
      </c>
      <c r="K25" s="10" t="s">
        <v>187</v>
      </c>
      <c r="L25" s="10">
        <v>3</v>
      </c>
      <c r="M25" s="10">
        <v>1.61</v>
      </c>
      <c r="N25" s="10">
        <v>0.08</v>
      </c>
      <c r="O25" s="10">
        <f t="shared" si="1"/>
        <v>0.13856406460551018</v>
      </c>
      <c r="P25" s="10">
        <v>3</v>
      </c>
      <c r="Q25" s="10">
        <v>1.92</v>
      </c>
      <c r="R25" s="10">
        <v>0.47</v>
      </c>
      <c r="S25" s="10">
        <f t="shared" si="2"/>
        <v>0.81406387955737225</v>
      </c>
      <c r="T25" s="10">
        <v>3</v>
      </c>
      <c r="U25" s="10" t="s">
        <v>185</v>
      </c>
      <c r="V25" s="10">
        <v>0.25</v>
      </c>
      <c r="W25" s="10">
        <f xml:space="preserve"> (V25 / 1000) / (0.5 / 1000)</f>
        <v>0.5</v>
      </c>
      <c r="X25" s="10" t="str">
        <f t="shared" si="3"/>
        <v>Low</v>
      </c>
      <c r="Y25" s="10" t="s">
        <v>181</v>
      </c>
      <c r="Z25" s="10">
        <f t="shared" si="4"/>
        <v>-0.17609100704331845</v>
      </c>
      <c r="AA25" s="10">
        <f t="shared" si="5"/>
        <v>2.4690405462752208E-3</v>
      </c>
      <c r="AB25" s="10">
        <f t="shared" si="6"/>
        <v>5.9922960069444427E-2</v>
      </c>
      <c r="AC25" s="10">
        <f t="shared" si="7"/>
        <v>6.2392000615719645E-2</v>
      </c>
      <c r="AD25" s="10" t="s">
        <v>179</v>
      </c>
      <c r="AF25" s="10" t="s">
        <v>170</v>
      </c>
    </row>
    <row r="26" spans="1:32" s="10" customFormat="1" ht="15.75" x14ac:dyDescent="0.2">
      <c r="A26" s="10">
        <v>25</v>
      </c>
      <c r="B26" s="10">
        <v>4</v>
      </c>
      <c r="C26" s="10" t="s">
        <v>176</v>
      </c>
      <c r="D26" s="10" t="s">
        <v>177</v>
      </c>
      <c r="E26" s="10" t="s">
        <v>180</v>
      </c>
      <c r="F26" s="10" t="s">
        <v>178</v>
      </c>
      <c r="G26" s="10" t="s">
        <v>168</v>
      </c>
      <c r="H26" s="10" t="s">
        <v>197</v>
      </c>
      <c r="I26" s="10" t="s">
        <v>173</v>
      </c>
      <c r="J26" s="10">
        <v>4</v>
      </c>
      <c r="K26" s="10" t="s">
        <v>187</v>
      </c>
      <c r="L26" s="10">
        <v>3</v>
      </c>
      <c r="M26" s="10">
        <v>0.28000000000000003</v>
      </c>
      <c r="N26" s="10">
        <v>0.04</v>
      </c>
      <c r="O26" s="10">
        <f t="shared" si="1"/>
        <v>6.9282032302755092E-2</v>
      </c>
      <c r="P26" s="10">
        <v>3</v>
      </c>
      <c r="Q26" s="10">
        <v>0.28000000000000003</v>
      </c>
      <c r="R26" s="10">
        <v>0.01</v>
      </c>
      <c r="S26" s="10">
        <f t="shared" si="2"/>
        <v>1.7320508075688773E-2</v>
      </c>
      <c r="T26" s="10">
        <v>3</v>
      </c>
      <c r="U26" s="10" t="s">
        <v>185</v>
      </c>
      <c r="V26" s="10">
        <v>0.25</v>
      </c>
      <c r="W26" s="10">
        <f xml:space="preserve"> (V26 / 1000) / (0.5 / 1000)</f>
        <v>0.5</v>
      </c>
      <c r="X26" s="10" t="str">
        <f t="shared" si="3"/>
        <v>Low</v>
      </c>
      <c r="Y26" s="10" t="s">
        <v>181</v>
      </c>
      <c r="Z26" s="10">
        <f t="shared" si="4"/>
        <v>0</v>
      </c>
      <c r="AA26" s="10">
        <f t="shared" si="5"/>
        <v>2.0408163265306124E-2</v>
      </c>
      <c r="AB26" s="10">
        <f t="shared" si="6"/>
        <v>1.2755102040816328E-3</v>
      </c>
      <c r="AC26" s="10">
        <f t="shared" si="7"/>
        <v>2.1683673469387758E-2</v>
      </c>
      <c r="AD26" s="10" t="s">
        <v>179</v>
      </c>
      <c r="AF26" s="10" t="s">
        <v>170</v>
      </c>
    </row>
    <row r="27" spans="1:32" s="12" customFormat="1" ht="15.75" x14ac:dyDescent="0.2">
      <c r="A27" s="12">
        <v>26</v>
      </c>
      <c r="B27" s="12">
        <v>5</v>
      </c>
      <c r="C27" s="12" t="s">
        <v>208</v>
      </c>
      <c r="D27" s="12" t="s">
        <v>227</v>
      </c>
      <c r="E27" s="12" t="s">
        <v>209</v>
      </c>
      <c r="F27" s="12" t="s">
        <v>210</v>
      </c>
      <c r="G27" s="12" t="s">
        <v>217</v>
      </c>
      <c r="H27" s="12" t="s">
        <v>216</v>
      </c>
      <c r="I27" s="12" t="s">
        <v>228</v>
      </c>
      <c r="J27" s="12">
        <v>5</v>
      </c>
      <c r="K27" s="12" t="s">
        <v>221</v>
      </c>
      <c r="L27" s="12">
        <v>19</v>
      </c>
      <c r="M27" s="12">
        <v>11.7851</v>
      </c>
      <c r="N27" s="12">
        <v>8.7910000000000821E-2</v>
      </c>
      <c r="O27" s="12">
        <f t="shared" si="1"/>
        <v>0.38319080612666423</v>
      </c>
      <c r="P27" s="12">
        <v>20</v>
      </c>
      <c r="Q27" s="12">
        <v>11.793200000000001</v>
      </c>
      <c r="R27" s="12">
        <v>0.94500999999999991</v>
      </c>
      <c r="S27" s="12">
        <f t="shared" si="2"/>
        <v>4.2262131988341523</v>
      </c>
      <c r="T27" s="12">
        <v>20</v>
      </c>
      <c r="U27" s="12" t="s">
        <v>214</v>
      </c>
      <c r="W27" s="12">
        <v>2.9399999999999999E-3</v>
      </c>
      <c r="X27" s="12" t="str">
        <f t="shared" si="3"/>
        <v>Low</v>
      </c>
      <c r="Y27" s="12" t="s">
        <v>229</v>
      </c>
      <c r="Z27" s="12">
        <f t="shared" si="4"/>
        <v>-6.8707246227653926E-4</v>
      </c>
      <c r="AA27" s="12">
        <f t="shared" si="5"/>
        <v>5.5642933264620105E-5</v>
      </c>
      <c r="AB27" s="12">
        <f t="shared" si="6"/>
        <v>6.4211006997169908E-3</v>
      </c>
      <c r="AC27" s="12">
        <f t="shared" si="7"/>
        <v>6.4767436329816108E-3</v>
      </c>
      <c r="AD27" s="12" t="s">
        <v>212</v>
      </c>
      <c r="AF27" s="12" t="s">
        <v>215</v>
      </c>
    </row>
    <row r="28" spans="1:32" s="12" customFormat="1" ht="15.75" x14ac:dyDescent="0.2">
      <c r="A28" s="12">
        <v>27</v>
      </c>
      <c r="B28" s="12">
        <v>5</v>
      </c>
      <c r="C28" s="12" t="s">
        <v>208</v>
      </c>
      <c r="D28" s="12" t="s">
        <v>227</v>
      </c>
      <c r="E28" s="12" t="s">
        <v>209</v>
      </c>
      <c r="F28" s="12" t="s">
        <v>210</v>
      </c>
      <c r="G28" s="12" t="s">
        <v>217</v>
      </c>
      <c r="H28" s="12" t="s">
        <v>216</v>
      </c>
      <c r="I28" s="12" t="s">
        <v>228</v>
      </c>
      <c r="J28" s="12">
        <v>5</v>
      </c>
      <c r="K28" s="12" t="s">
        <v>221</v>
      </c>
      <c r="L28" s="12">
        <v>19</v>
      </c>
      <c r="M28" s="12">
        <v>12.071580000000001</v>
      </c>
      <c r="N28" s="12">
        <v>5.8609999999999829E-2</v>
      </c>
      <c r="O28" s="12">
        <f t="shared" si="1"/>
        <v>0.25547506708091816</v>
      </c>
      <c r="P28" s="12">
        <v>20</v>
      </c>
      <c r="Q28" s="12">
        <v>11.793200000000001</v>
      </c>
      <c r="R28" s="12">
        <v>0.94500999999999991</v>
      </c>
      <c r="S28" s="12">
        <f t="shared" si="2"/>
        <v>4.2262131988341523</v>
      </c>
      <c r="T28" s="12">
        <v>20</v>
      </c>
      <c r="U28" s="12" t="s">
        <v>213</v>
      </c>
      <c r="W28" s="12">
        <v>0.29399999999999998</v>
      </c>
      <c r="X28" s="12" t="str">
        <f t="shared" si="3"/>
        <v>Low</v>
      </c>
      <c r="Y28" s="12" t="s">
        <v>229</v>
      </c>
      <c r="Z28" s="12">
        <f t="shared" si="4"/>
        <v>2.3330835430713393E-2</v>
      </c>
      <c r="AA28" s="12">
        <f t="shared" si="5"/>
        <v>2.357301915239122E-5</v>
      </c>
      <c r="AB28" s="12">
        <f t="shared" si="6"/>
        <v>6.4211006997169908E-3</v>
      </c>
      <c r="AC28" s="12">
        <f t="shared" si="7"/>
        <v>6.4446737188693821E-3</v>
      </c>
      <c r="AD28" s="12" t="s">
        <v>212</v>
      </c>
      <c r="AF28" s="12" t="s">
        <v>215</v>
      </c>
    </row>
    <row r="29" spans="1:32" s="12" customFormat="1" ht="15.75" x14ac:dyDescent="0.2">
      <c r="A29" s="12">
        <v>28</v>
      </c>
      <c r="B29" s="12">
        <v>5</v>
      </c>
      <c r="C29" s="12" t="s">
        <v>208</v>
      </c>
      <c r="D29" s="12" t="s">
        <v>230</v>
      </c>
      <c r="E29" s="12" t="s">
        <v>209</v>
      </c>
      <c r="F29" s="12" t="s">
        <v>210</v>
      </c>
      <c r="G29" s="12" t="s">
        <v>218</v>
      </c>
      <c r="H29" s="12" t="s">
        <v>216</v>
      </c>
      <c r="I29" s="12" t="s">
        <v>228</v>
      </c>
      <c r="J29" s="12">
        <v>5</v>
      </c>
      <c r="K29" s="12" t="s">
        <v>221</v>
      </c>
      <c r="L29" s="12">
        <v>18</v>
      </c>
      <c r="M29" s="12">
        <v>11.33901</v>
      </c>
      <c r="N29" s="12">
        <v>0.12454000000000143</v>
      </c>
      <c r="O29" s="12">
        <f t="shared" si="1"/>
        <v>0.52837847117384174</v>
      </c>
      <c r="P29" s="12">
        <v>15</v>
      </c>
      <c r="Q29" s="12">
        <v>11.7639</v>
      </c>
      <c r="R29" s="12">
        <v>0.12453999999999965</v>
      </c>
      <c r="S29" s="12">
        <f t="shared" si="2"/>
        <v>0.48234134593667038</v>
      </c>
      <c r="T29" s="12">
        <v>20</v>
      </c>
      <c r="U29" s="12" t="s">
        <v>214</v>
      </c>
      <c r="W29" s="12">
        <v>2.9399999999999999E-3</v>
      </c>
      <c r="X29" s="12" t="str">
        <f t="shared" si="3"/>
        <v>Low</v>
      </c>
      <c r="Y29" s="12" t="s">
        <v>229</v>
      </c>
      <c r="Z29" s="12">
        <f t="shared" si="4"/>
        <v>-3.6786527244289421E-2</v>
      </c>
      <c r="AA29" s="12">
        <f t="shared" si="5"/>
        <v>1.2063336604722184E-4</v>
      </c>
      <c r="AB29" s="12">
        <f t="shared" si="6"/>
        <v>1.1207663278279906E-4</v>
      </c>
      <c r="AC29" s="12">
        <f t="shared" si="7"/>
        <v>2.3270999883002091E-4</v>
      </c>
      <c r="AD29" s="12" t="s">
        <v>212</v>
      </c>
      <c r="AF29" s="12" t="s">
        <v>215</v>
      </c>
    </row>
    <row r="30" spans="1:32" s="12" customFormat="1" ht="15.75" x14ac:dyDescent="0.2">
      <c r="A30" s="12">
        <v>29</v>
      </c>
      <c r="B30" s="12">
        <v>5</v>
      </c>
      <c r="C30" s="12" t="s">
        <v>208</v>
      </c>
      <c r="D30" s="12" t="s">
        <v>230</v>
      </c>
      <c r="E30" s="12" t="s">
        <v>209</v>
      </c>
      <c r="F30" s="12" t="s">
        <v>210</v>
      </c>
      <c r="G30" s="12" t="s">
        <v>218</v>
      </c>
      <c r="H30" s="12" t="s">
        <v>216</v>
      </c>
      <c r="I30" s="12" t="s">
        <v>228</v>
      </c>
      <c r="J30" s="12">
        <v>5</v>
      </c>
      <c r="K30" s="12" t="s">
        <v>221</v>
      </c>
      <c r="L30" s="12">
        <v>18</v>
      </c>
      <c r="M30" s="12">
        <v>11.610060000000001</v>
      </c>
      <c r="N30" s="12">
        <v>0.94500999999999991</v>
      </c>
      <c r="O30" s="12">
        <f t="shared" si="1"/>
        <v>4.0093378757345945</v>
      </c>
      <c r="P30" s="12">
        <v>15</v>
      </c>
      <c r="Q30" s="12">
        <v>11.7639</v>
      </c>
      <c r="R30" s="12">
        <v>0.12453999999999965</v>
      </c>
      <c r="S30" s="12">
        <f t="shared" si="2"/>
        <v>0.48234134593667038</v>
      </c>
      <c r="T30" s="12">
        <v>20</v>
      </c>
      <c r="U30" s="12" t="s">
        <v>213</v>
      </c>
      <c r="W30" s="12">
        <v>0.29399999999999998</v>
      </c>
      <c r="X30" s="12" t="str">
        <f t="shared" si="3"/>
        <v>Low</v>
      </c>
      <c r="Y30" s="12" t="s">
        <v>229</v>
      </c>
      <c r="Z30" s="12">
        <f t="shared" si="4"/>
        <v>-1.3163556490485702E-2</v>
      </c>
      <c r="AA30" s="12">
        <f t="shared" si="5"/>
        <v>6.6252745505385301E-3</v>
      </c>
      <c r="AB30" s="12">
        <f t="shared" si="6"/>
        <v>1.1207663278279906E-4</v>
      </c>
      <c r="AC30" s="12">
        <f t="shared" si="7"/>
        <v>6.7373511833213294E-3</v>
      </c>
      <c r="AD30" s="12" t="s">
        <v>212</v>
      </c>
      <c r="AF30" s="12" t="s">
        <v>215</v>
      </c>
    </row>
    <row r="31" spans="1:32" s="12" customFormat="1" ht="15.75" x14ac:dyDescent="0.2">
      <c r="A31" s="12">
        <v>30</v>
      </c>
      <c r="B31" s="12">
        <v>5</v>
      </c>
      <c r="C31" s="12" t="s">
        <v>208</v>
      </c>
      <c r="D31" s="12" t="s">
        <v>227</v>
      </c>
      <c r="E31" s="12" t="s">
        <v>209</v>
      </c>
      <c r="F31" s="12" t="s">
        <v>210</v>
      </c>
      <c r="G31" s="12" t="s">
        <v>217</v>
      </c>
      <c r="H31" s="12" t="s">
        <v>216</v>
      </c>
      <c r="I31" s="12" t="s">
        <v>228</v>
      </c>
      <c r="J31" s="12">
        <v>5</v>
      </c>
      <c r="K31" s="12" t="s">
        <v>221</v>
      </c>
      <c r="L31" s="12">
        <v>19</v>
      </c>
      <c r="M31" s="12">
        <v>20.789110000000001</v>
      </c>
      <c r="N31" s="12">
        <v>0.91571000000000069</v>
      </c>
      <c r="O31" s="12">
        <f t="shared" si="1"/>
        <v>3.9914873515896336</v>
      </c>
      <c r="P31" s="12">
        <v>20</v>
      </c>
      <c r="Q31" s="12">
        <v>17.28744</v>
      </c>
      <c r="R31" s="12">
        <v>1.5237300000000005</v>
      </c>
      <c r="S31" s="12">
        <f t="shared" si="2"/>
        <v>6.8143277187115112</v>
      </c>
      <c r="T31" s="12">
        <v>20</v>
      </c>
      <c r="U31" s="12" t="s">
        <v>214</v>
      </c>
      <c r="W31" s="12">
        <v>2.9399999999999999E-3</v>
      </c>
      <c r="X31" s="12" t="str">
        <f t="shared" si="3"/>
        <v>Low</v>
      </c>
      <c r="Y31" s="12" t="s">
        <v>229</v>
      </c>
      <c r="Z31" s="12">
        <f t="shared" si="4"/>
        <v>0.18444906564176075</v>
      </c>
      <c r="AA31" s="12">
        <f t="shared" si="5"/>
        <v>1.940189363801815E-3</v>
      </c>
      <c r="AB31" s="12">
        <f t="shared" si="6"/>
        <v>7.7688129472991974E-3</v>
      </c>
      <c r="AC31" s="12">
        <f t="shared" si="7"/>
        <v>9.7090023111010126E-3</v>
      </c>
      <c r="AD31" s="12" t="s">
        <v>212</v>
      </c>
      <c r="AF31" s="12" t="s">
        <v>215</v>
      </c>
    </row>
    <row r="32" spans="1:32" s="12" customFormat="1" ht="15.75" x14ac:dyDescent="0.2">
      <c r="A32" s="12">
        <v>31</v>
      </c>
      <c r="B32" s="12">
        <v>5</v>
      </c>
      <c r="C32" s="12" t="s">
        <v>208</v>
      </c>
      <c r="D32" s="12" t="s">
        <v>227</v>
      </c>
      <c r="E32" s="12" t="s">
        <v>209</v>
      </c>
      <c r="F32" s="12" t="s">
        <v>210</v>
      </c>
      <c r="G32" s="12" t="s">
        <v>217</v>
      </c>
      <c r="H32" s="12" t="s">
        <v>216</v>
      </c>
      <c r="I32" s="12" t="s">
        <v>228</v>
      </c>
      <c r="J32" s="12">
        <v>5</v>
      </c>
      <c r="K32" s="12" t="s">
        <v>221</v>
      </c>
      <c r="L32" s="12">
        <v>19</v>
      </c>
      <c r="M32" s="12">
        <v>13.902990000000001</v>
      </c>
      <c r="N32" s="12">
        <v>1.4651300000000003</v>
      </c>
      <c r="O32" s="12">
        <f t="shared" si="1"/>
        <v>6.386353609149749</v>
      </c>
      <c r="P32" s="12">
        <v>20</v>
      </c>
      <c r="Q32" s="12">
        <v>17.28744</v>
      </c>
      <c r="R32" s="12">
        <v>1.5237300000000005</v>
      </c>
      <c r="S32" s="12">
        <f t="shared" si="2"/>
        <v>6.8143277187115112</v>
      </c>
      <c r="T32" s="12">
        <v>20</v>
      </c>
      <c r="U32" s="12" t="s">
        <v>213</v>
      </c>
      <c r="W32" s="12">
        <v>0.29399999999999998</v>
      </c>
      <c r="X32" s="12" t="str">
        <f t="shared" si="3"/>
        <v>Low</v>
      </c>
      <c r="Y32" s="12" t="s">
        <v>229</v>
      </c>
      <c r="Z32" s="12">
        <f t="shared" si="4"/>
        <v>-0.2178763013510934</v>
      </c>
      <c r="AA32" s="12">
        <f t="shared" si="5"/>
        <v>1.110544335672858E-2</v>
      </c>
      <c r="AB32" s="12">
        <f t="shared" si="6"/>
        <v>7.7688129472991974E-3</v>
      </c>
      <c r="AC32" s="12">
        <f t="shared" si="7"/>
        <v>1.8874256304027778E-2</v>
      </c>
      <c r="AD32" s="12" t="s">
        <v>212</v>
      </c>
      <c r="AF32" s="12" t="s">
        <v>215</v>
      </c>
    </row>
    <row r="33" spans="1:32" s="12" customFormat="1" ht="15.75" x14ac:dyDescent="0.2">
      <c r="A33" s="12">
        <v>32</v>
      </c>
      <c r="B33" s="12">
        <v>5</v>
      </c>
      <c r="C33" s="12" t="s">
        <v>208</v>
      </c>
      <c r="D33" s="12" t="s">
        <v>230</v>
      </c>
      <c r="E33" s="12" t="s">
        <v>209</v>
      </c>
      <c r="F33" s="12" t="s">
        <v>210</v>
      </c>
      <c r="G33" s="12" t="s">
        <v>218</v>
      </c>
      <c r="H33" s="12" t="s">
        <v>216</v>
      </c>
      <c r="I33" s="12" t="s">
        <v>228</v>
      </c>
      <c r="J33" s="12">
        <v>5</v>
      </c>
      <c r="K33" s="12" t="s">
        <v>221</v>
      </c>
      <c r="L33" s="12">
        <v>18</v>
      </c>
      <c r="M33" s="12">
        <v>14.415789999999999</v>
      </c>
      <c r="N33" s="12">
        <v>1.5530399999999993</v>
      </c>
      <c r="O33" s="12">
        <f t="shared" si="1"/>
        <v>6.5889906927237307</v>
      </c>
      <c r="P33" s="12">
        <v>15</v>
      </c>
      <c r="Q33" s="12">
        <v>14.75277</v>
      </c>
      <c r="R33" s="12">
        <v>3.9338799999999985</v>
      </c>
      <c r="S33" s="12">
        <f t="shared" si="2"/>
        <v>15.235851725978428</v>
      </c>
      <c r="T33" s="12">
        <v>20</v>
      </c>
      <c r="U33" s="12" t="s">
        <v>214</v>
      </c>
      <c r="W33" s="12">
        <v>2.9399999999999999E-3</v>
      </c>
      <c r="X33" s="12" t="str">
        <f t="shared" si="3"/>
        <v>Low</v>
      </c>
      <c r="Y33" s="12" t="s">
        <v>229</v>
      </c>
      <c r="Z33" s="12">
        <f t="shared" si="4"/>
        <v>-2.3106728152155972E-2</v>
      </c>
      <c r="AA33" s="12">
        <f t="shared" si="5"/>
        <v>1.1606155601050388E-2</v>
      </c>
      <c r="AB33" s="12">
        <f t="shared" si="6"/>
        <v>7.1104170211116355E-2</v>
      </c>
      <c r="AC33" s="12">
        <f t="shared" si="7"/>
        <v>8.2710325812166738E-2</v>
      </c>
      <c r="AD33" s="12" t="s">
        <v>212</v>
      </c>
      <c r="AF33" s="12" t="s">
        <v>215</v>
      </c>
    </row>
    <row r="34" spans="1:32" s="12" customFormat="1" ht="15.75" x14ac:dyDescent="0.2">
      <c r="A34" s="12">
        <v>33</v>
      </c>
      <c r="B34" s="12">
        <v>5</v>
      </c>
      <c r="C34" s="12" t="s">
        <v>208</v>
      </c>
      <c r="D34" s="12" t="s">
        <v>230</v>
      </c>
      <c r="E34" s="12" t="s">
        <v>209</v>
      </c>
      <c r="F34" s="12" t="s">
        <v>210</v>
      </c>
      <c r="G34" s="12" t="s">
        <v>218</v>
      </c>
      <c r="H34" s="12" t="s">
        <v>216</v>
      </c>
      <c r="I34" s="12" t="s">
        <v>228</v>
      </c>
      <c r="J34" s="12">
        <v>5</v>
      </c>
      <c r="K34" s="12" t="s">
        <v>221</v>
      </c>
      <c r="L34" s="12">
        <v>18</v>
      </c>
      <c r="M34" s="12">
        <v>16.276499999999999</v>
      </c>
      <c r="N34" s="12">
        <v>3.2013199999999991</v>
      </c>
      <c r="O34" s="12">
        <f t="shared" si="1"/>
        <v>13.582050484488704</v>
      </c>
      <c r="P34" s="12">
        <v>15</v>
      </c>
      <c r="Q34" s="12">
        <v>14.75277</v>
      </c>
      <c r="R34" s="12">
        <v>3.9338799999999985</v>
      </c>
      <c r="S34" s="12">
        <f t="shared" si="2"/>
        <v>15.235851725978428</v>
      </c>
      <c r="T34" s="12">
        <v>20</v>
      </c>
      <c r="U34" s="12" t="s">
        <v>213</v>
      </c>
      <c r="W34" s="12">
        <v>0.29399999999999998</v>
      </c>
      <c r="X34" s="12" t="str">
        <f t="shared" si="3"/>
        <v>Low</v>
      </c>
      <c r="Y34" s="12" t="s">
        <v>229</v>
      </c>
      <c r="Z34" s="12">
        <f t="shared" si="4"/>
        <v>9.8291487981812573E-2</v>
      </c>
      <c r="AA34" s="12">
        <f t="shared" si="5"/>
        <v>3.8684423636097157E-2</v>
      </c>
      <c r="AB34" s="12">
        <f t="shared" si="6"/>
        <v>7.1104170211116355E-2</v>
      </c>
      <c r="AC34" s="12">
        <f t="shared" si="7"/>
        <v>0.10978859384721351</v>
      </c>
      <c r="AD34" s="12" t="s">
        <v>212</v>
      </c>
      <c r="AF34" s="12" t="s">
        <v>215</v>
      </c>
    </row>
    <row r="35" spans="1:32" s="12" customFormat="1" ht="15.75" x14ac:dyDescent="0.2">
      <c r="A35" s="12">
        <v>34</v>
      </c>
      <c r="B35" s="12">
        <v>5</v>
      </c>
      <c r="C35" s="12" t="s">
        <v>208</v>
      </c>
      <c r="D35" s="12" t="s">
        <v>227</v>
      </c>
      <c r="E35" s="12" t="s">
        <v>209</v>
      </c>
      <c r="F35" s="12" t="s">
        <v>210</v>
      </c>
      <c r="G35" s="12" t="s">
        <v>217</v>
      </c>
      <c r="H35" s="12" t="s">
        <v>216</v>
      </c>
      <c r="I35" s="12" t="s">
        <v>228</v>
      </c>
      <c r="J35" s="12">
        <v>5</v>
      </c>
      <c r="K35" s="12" t="s">
        <v>221</v>
      </c>
      <c r="L35" s="12">
        <v>19</v>
      </c>
      <c r="M35" s="12">
        <v>0.39539000000000002</v>
      </c>
      <c r="N35" s="12">
        <v>4.369999999999985E-3</v>
      </c>
      <c r="O35" s="12">
        <f t="shared" si="1"/>
        <v>1.904838838327268E-2</v>
      </c>
      <c r="P35" s="12">
        <v>20</v>
      </c>
      <c r="Q35" s="12">
        <v>0.38883000000000001</v>
      </c>
      <c r="R35" s="12">
        <v>1.7879999999999951E-2</v>
      </c>
      <c r="S35" s="12">
        <f t="shared" si="2"/>
        <v>7.9961790875392263E-2</v>
      </c>
      <c r="T35" s="12">
        <v>20</v>
      </c>
      <c r="U35" s="12" t="s">
        <v>214</v>
      </c>
      <c r="W35" s="12">
        <v>2.9399999999999999E-3</v>
      </c>
      <c r="X35" s="12" t="str">
        <f t="shared" si="3"/>
        <v>Low</v>
      </c>
      <c r="Y35" s="12" t="s">
        <v>229</v>
      </c>
      <c r="Z35" s="12">
        <f t="shared" si="4"/>
        <v>1.6730389468590109E-2</v>
      </c>
      <c r="AA35" s="12">
        <f t="shared" si="5"/>
        <v>1.2215507413473599E-4</v>
      </c>
      <c r="AB35" s="12">
        <f t="shared" si="6"/>
        <v>2.1145380197615873E-3</v>
      </c>
      <c r="AC35" s="12">
        <f t="shared" si="7"/>
        <v>2.2366930938963235E-3</v>
      </c>
      <c r="AD35" s="12" t="s">
        <v>212</v>
      </c>
      <c r="AF35" s="12" t="s">
        <v>231</v>
      </c>
    </row>
    <row r="36" spans="1:32" s="12" customFormat="1" ht="15.75" x14ac:dyDescent="0.2">
      <c r="A36" s="12">
        <v>35</v>
      </c>
      <c r="B36" s="12">
        <v>5</v>
      </c>
      <c r="C36" s="12" t="s">
        <v>208</v>
      </c>
      <c r="D36" s="12" t="s">
        <v>227</v>
      </c>
      <c r="E36" s="12" t="s">
        <v>209</v>
      </c>
      <c r="F36" s="12" t="s">
        <v>210</v>
      </c>
      <c r="G36" s="12" t="s">
        <v>217</v>
      </c>
      <c r="H36" s="12" t="s">
        <v>216</v>
      </c>
      <c r="I36" s="12" t="s">
        <v>228</v>
      </c>
      <c r="J36" s="12">
        <v>5</v>
      </c>
      <c r="K36" s="12" t="s">
        <v>221</v>
      </c>
      <c r="L36" s="12">
        <v>19</v>
      </c>
      <c r="M36" s="12">
        <v>0.36325000000000002</v>
      </c>
      <c r="N36" s="12">
        <v>4.7320000000000029E-2</v>
      </c>
      <c r="O36" s="12">
        <f t="shared" si="1"/>
        <v>0.20626309800834483</v>
      </c>
      <c r="P36" s="12">
        <v>20</v>
      </c>
      <c r="Q36" s="12">
        <v>0.38883000000000001</v>
      </c>
      <c r="R36" s="12">
        <v>1.7879999999999951E-2</v>
      </c>
      <c r="S36" s="12">
        <f t="shared" si="2"/>
        <v>7.9961790875392263E-2</v>
      </c>
      <c r="T36" s="12">
        <v>20</v>
      </c>
      <c r="U36" s="12" t="s">
        <v>213</v>
      </c>
      <c r="W36" s="12">
        <v>0.29399999999999998</v>
      </c>
      <c r="X36" s="12" t="str">
        <f t="shared" si="3"/>
        <v>Low</v>
      </c>
      <c r="Y36" s="12" t="s">
        <v>229</v>
      </c>
      <c r="Z36" s="12">
        <f t="shared" si="4"/>
        <v>-6.8050927653001081E-2</v>
      </c>
      <c r="AA36" s="12">
        <f t="shared" si="5"/>
        <v>1.6969858692341713E-2</v>
      </c>
      <c r="AB36" s="12">
        <f t="shared" si="6"/>
        <v>2.1145380197615873E-3</v>
      </c>
      <c r="AC36" s="12">
        <f t="shared" si="7"/>
        <v>1.90843967121033E-2</v>
      </c>
      <c r="AD36" s="12" t="s">
        <v>212</v>
      </c>
      <c r="AF36" s="12" t="s">
        <v>231</v>
      </c>
    </row>
    <row r="37" spans="1:32" s="12" customFormat="1" ht="15.75" x14ac:dyDescent="0.2">
      <c r="A37" s="12">
        <v>36</v>
      </c>
      <c r="B37" s="12">
        <v>5</v>
      </c>
      <c r="C37" s="12" t="s">
        <v>208</v>
      </c>
      <c r="D37" s="12" t="s">
        <v>230</v>
      </c>
      <c r="E37" s="12" t="s">
        <v>209</v>
      </c>
      <c r="F37" s="12" t="s">
        <v>210</v>
      </c>
      <c r="G37" s="12" t="s">
        <v>218</v>
      </c>
      <c r="H37" s="12" t="s">
        <v>216</v>
      </c>
      <c r="I37" s="12" t="s">
        <v>228</v>
      </c>
      <c r="J37" s="12">
        <v>5</v>
      </c>
      <c r="K37" s="12" t="s">
        <v>221</v>
      </c>
      <c r="L37" s="12">
        <v>18</v>
      </c>
      <c r="M37" s="12">
        <v>0.35077999999999998</v>
      </c>
      <c r="N37" s="12">
        <v>4.8989999999999978E-2</v>
      </c>
      <c r="O37" s="12">
        <f t="shared" si="1"/>
        <v>0.20784696726197366</v>
      </c>
      <c r="P37" s="12">
        <v>15</v>
      </c>
      <c r="Q37" s="12">
        <v>0.33662999999999998</v>
      </c>
      <c r="R37" s="12">
        <v>3.8600000000000301E-3</v>
      </c>
      <c r="S37" s="12">
        <f t="shared" si="2"/>
        <v>1.4949715716360746E-2</v>
      </c>
      <c r="T37" s="12">
        <v>20</v>
      </c>
      <c r="U37" s="12" t="s">
        <v>214</v>
      </c>
      <c r="W37" s="12">
        <v>2.9399999999999999E-3</v>
      </c>
      <c r="X37" s="12" t="str">
        <f t="shared" si="3"/>
        <v>Low</v>
      </c>
      <c r="Y37" s="12" t="s">
        <v>229</v>
      </c>
      <c r="Z37" s="12">
        <f t="shared" si="4"/>
        <v>4.1174841985107187E-2</v>
      </c>
      <c r="AA37" s="12">
        <f t="shared" si="5"/>
        <v>1.9504967517658105E-2</v>
      </c>
      <c r="AB37" s="12">
        <f t="shared" si="6"/>
        <v>1.3148280941997179E-4</v>
      </c>
      <c r="AC37" s="12">
        <f t="shared" si="7"/>
        <v>1.9636450327078076E-2</v>
      </c>
      <c r="AD37" s="12" t="s">
        <v>212</v>
      </c>
      <c r="AF37" s="12" t="s">
        <v>231</v>
      </c>
    </row>
    <row r="38" spans="1:32" s="12" customFormat="1" ht="15.75" x14ac:dyDescent="0.2">
      <c r="A38" s="12">
        <v>37</v>
      </c>
      <c r="B38" s="12">
        <v>5</v>
      </c>
      <c r="C38" s="12" t="s">
        <v>208</v>
      </c>
      <c r="D38" s="12" t="s">
        <v>230</v>
      </c>
      <c r="E38" s="12" t="s">
        <v>209</v>
      </c>
      <c r="F38" s="12" t="s">
        <v>210</v>
      </c>
      <c r="G38" s="12" t="s">
        <v>218</v>
      </c>
      <c r="H38" s="12" t="s">
        <v>216</v>
      </c>
      <c r="I38" s="12" t="s">
        <v>228</v>
      </c>
      <c r="J38" s="12">
        <v>5</v>
      </c>
      <c r="K38" s="12" t="s">
        <v>221</v>
      </c>
      <c r="L38" s="12">
        <v>18</v>
      </c>
      <c r="M38" s="12">
        <v>0.34705000000000003</v>
      </c>
      <c r="N38" s="12">
        <v>1.9540000000000002E-2</v>
      </c>
      <c r="O38" s="12">
        <f t="shared" si="1"/>
        <v>8.2901199026310837E-2</v>
      </c>
      <c r="P38" s="12">
        <v>15</v>
      </c>
      <c r="Q38" s="12">
        <v>0.33662999999999998</v>
      </c>
      <c r="R38" s="12">
        <v>3.8600000000000301E-3</v>
      </c>
      <c r="S38" s="12">
        <f t="shared" si="2"/>
        <v>1.4949715716360746E-2</v>
      </c>
      <c r="T38" s="12">
        <v>20</v>
      </c>
      <c r="U38" s="12" t="s">
        <v>213</v>
      </c>
      <c r="W38" s="12">
        <v>0.29399999999999998</v>
      </c>
      <c r="X38" s="12" t="str">
        <f t="shared" si="3"/>
        <v>Low</v>
      </c>
      <c r="Y38" s="12" t="s">
        <v>229</v>
      </c>
      <c r="Z38" s="12">
        <f t="shared" si="4"/>
        <v>3.0484457440708348E-2</v>
      </c>
      <c r="AA38" s="12">
        <f t="shared" si="5"/>
        <v>3.1700420368595034E-3</v>
      </c>
      <c r="AB38" s="12">
        <f t="shared" si="6"/>
        <v>1.3148280941997179E-4</v>
      </c>
      <c r="AC38" s="12">
        <f t="shared" si="7"/>
        <v>3.301524846279475E-3</v>
      </c>
      <c r="AD38" s="12" t="s">
        <v>212</v>
      </c>
      <c r="AF38" s="12" t="s">
        <v>231</v>
      </c>
    </row>
    <row r="39" spans="1:32" s="12" customFormat="1" ht="15.75" x14ac:dyDescent="0.2">
      <c r="A39" s="12">
        <v>38</v>
      </c>
      <c r="B39" s="12">
        <v>5</v>
      </c>
      <c r="C39" s="12" t="s">
        <v>208</v>
      </c>
      <c r="D39" s="12" t="s">
        <v>227</v>
      </c>
      <c r="E39" s="12" t="s">
        <v>209</v>
      </c>
      <c r="F39" s="12" t="s">
        <v>210</v>
      </c>
      <c r="G39" s="12" t="s">
        <v>217</v>
      </c>
      <c r="H39" s="12" t="s">
        <v>216</v>
      </c>
      <c r="I39" s="12" t="s">
        <v>228</v>
      </c>
      <c r="J39" s="12">
        <v>5</v>
      </c>
      <c r="K39" s="12" t="s">
        <v>221</v>
      </c>
      <c r="L39" s="12">
        <v>19</v>
      </c>
      <c r="M39" s="12">
        <v>0.26977000000000001</v>
      </c>
      <c r="N39" s="12">
        <v>0.10698000000000002</v>
      </c>
      <c r="O39" s="12">
        <f t="shared" si="1"/>
        <v>0.4663150089799814</v>
      </c>
      <c r="P39" s="12">
        <v>20</v>
      </c>
      <c r="Q39" s="12">
        <v>0.31708999999999998</v>
      </c>
      <c r="R39" s="12">
        <v>2.2239999999999982E-2</v>
      </c>
      <c r="S39" s="12">
        <f t="shared" si="2"/>
        <v>9.9460303639190575E-2</v>
      </c>
      <c r="T39" s="12">
        <v>20</v>
      </c>
      <c r="U39" s="12" t="s">
        <v>214</v>
      </c>
      <c r="W39" s="12">
        <v>2.9399999999999999E-3</v>
      </c>
      <c r="X39" s="12" t="str">
        <f t="shared" si="3"/>
        <v>Low</v>
      </c>
      <c r="Y39" s="12" t="s">
        <v>229</v>
      </c>
      <c r="Z39" s="12">
        <f t="shared" si="4"/>
        <v>-0.1616159011393595</v>
      </c>
      <c r="AA39" s="12">
        <f t="shared" si="5"/>
        <v>0.15725985947187721</v>
      </c>
      <c r="AB39" s="12">
        <f t="shared" si="6"/>
        <v>4.91931319987638E-3</v>
      </c>
      <c r="AC39" s="12">
        <f t="shared" si="7"/>
        <v>0.16217917267175358</v>
      </c>
      <c r="AD39" s="12" t="s">
        <v>212</v>
      </c>
      <c r="AF39" s="12" t="s">
        <v>231</v>
      </c>
    </row>
    <row r="40" spans="1:32" s="12" customFormat="1" ht="15.75" x14ac:dyDescent="0.2">
      <c r="A40" s="12">
        <v>39</v>
      </c>
      <c r="B40" s="12">
        <v>5</v>
      </c>
      <c r="C40" s="12" t="s">
        <v>208</v>
      </c>
      <c r="D40" s="12" t="s">
        <v>227</v>
      </c>
      <c r="E40" s="12" t="s">
        <v>209</v>
      </c>
      <c r="F40" s="12" t="s">
        <v>210</v>
      </c>
      <c r="G40" s="12" t="s">
        <v>217</v>
      </c>
      <c r="H40" s="12" t="s">
        <v>216</v>
      </c>
      <c r="I40" s="12" t="s">
        <v>228</v>
      </c>
      <c r="J40" s="12">
        <v>5</v>
      </c>
      <c r="K40" s="12" t="s">
        <v>221</v>
      </c>
      <c r="L40" s="12">
        <v>19</v>
      </c>
      <c r="M40" s="12">
        <v>0.33393</v>
      </c>
      <c r="N40" s="12">
        <v>3.2200000000000006E-3</v>
      </c>
      <c r="O40" s="12">
        <f t="shared" si="1"/>
        <v>1.4035654598200973E-2</v>
      </c>
      <c r="P40" s="12">
        <v>20</v>
      </c>
      <c r="Q40" s="12">
        <v>0.31708999999999998</v>
      </c>
      <c r="R40" s="12">
        <v>2.2239999999999982E-2</v>
      </c>
      <c r="S40" s="12">
        <f t="shared" si="2"/>
        <v>9.9460303639190575E-2</v>
      </c>
      <c r="T40" s="12">
        <v>20</v>
      </c>
      <c r="U40" s="12" t="s">
        <v>213</v>
      </c>
      <c r="W40" s="12">
        <v>0.29399999999999998</v>
      </c>
      <c r="X40" s="12" t="str">
        <f t="shared" si="3"/>
        <v>Low</v>
      </c>
      <c r="Y40" s="12" t="s">
        <v>229</v>
      </c>
      <c r="Z40" s="12">
        <f t="shared" si="4"/>
        <v>5.1745744919331295E-2</v>
      </c>
      <c r="AA40" s="12">
        <f t="shared" si="5"/>
        <v>9.298242499353529E-5</v>
      </c>
      <c r="AB40" s="12">
        <f t="shared" si="6"/>
        <v>4.91931319987638E-3</v>
      </c>
      <c r="AC40" s="12">
        <f t="shared" si="7"/>
        <v>5.0122956248699153E-3</v>
      </c>
      <c r="AD40" s="12" t="s">
        <v>212</v>
      </c>
      <c r="AF40" s="12" t="s">
        <v>231</v>
      </c>
    </row>
    <row r="41" spans="1:32" s="12" customFormat="1" ht="15.75" x14ac:dyDescent="0.2">
      <c r="A41" s="12">
        <v>40</v>
      </c>
      <c r="B41" s="12">
        <v>5</v>
      </c>
      <c r="C41" s="12" t="s">
        <v>208</v>
      </c>
      <c r="D41" s="12" t="s">
        <v>230</v>
      </c>
      <c r="E41" s="12" t="s">
        <v>209</v>
      </c>
      <c r="F41" s="12" t="s">
        <v>210</v>
      </c>
      <c r="G41" s="12" t="s">
        <v>218</v>
      </c>
      <c r="H41" s="12" t="s">
        <v>216</v>
      </c>
      <c r="I41" s="12" t="s">
        <v>228</v>
      </c>
      <c r="J41" s="12">
        <v>5</v>
      </c>
      <c r="K41" s="12" t="s">
        <v>221</v>
      </c>
      <c r="L41" s="12">
        <v>18</v>
      </c>
      <c r="M41" s="12">
        <v>0.29921999999999999</v>
      </c>
      <c r="N41" s="12">
        <v>2.2760000000000002E-2</v>
      </c>
      <c r="O41" s="12">
        <f t="shared" si="1"/>
        <v>9.656250203883493E-2</v>
      </c>
      <c r="P41" s="12">
        <v>15</v>
      </c>
      <c r="Q41" s="12">
        <v>0.30731999999999998</v>
      </c>
      <c r="R41" s="12">
        <v>7.0800000000000307E-3</v>
      </c>
      <c r="S41" s="12">
        <f t="shared" si="2"/>
        <v>2.7420722091148632E-2</v>
      </c>
      <c r="T41" s="12">
        <v>20</v>
      </c>
      <c r="U41" s="12" t="s">
        <v>214</v>
      </c>
      <c r="W41" s="12">
        <v>2.9399999999999999E-3</v>
      </c>
      <c r="X41" s="12" t="str">
        <f t="shared" si="3"/>
        <v>Low</v>
      </c>
      <c r="Y41" s="12" t="s">
        <v>229</v>
      </c>
      <c r="Z41" s="12">
        <f t="shared" si="4"/>
        <v>-2.6710461213348038E-2</v>
      </c>
      <c r="AA41" s="12">
        <f t="shared" si="5"/>
        <v>5.7857981494929839E-3</v>
      </c>
      <c r="AB41" s="12">
        <f t="shared" si="6"/>
        <v>5.3074372274716829E-4</v>
      </c>
      <c r="AC41" s="12">
        <f t="shared" si="7"/>
        <v>6.3165418722401518E-3</v>
      </c>
      <c r="AD41" s="12" t="s">
        <v>212</v>
      </c>
      <c r="AF41" s="12" t="s">
        <v>231</v>
      </c>
    </row>
    <row r="42" spans="1:32" s="12" customFormat="1" ht="15.75" x14ac:dyDescent="0.2">
      <c r="A42" s="12">
        <v>41</v>
      </c>
      <c r="B42" s="12">
        <v>5</v>
      </c>
      <c r="C42" s="12" t="s">
        <v>208</v>
      </c>
      <c r="D42" s="12" t="s">
        <v>230</v>
      </c>
      <c r="E42" s="12" t="s">
        <v>209</v>
      </c>
      <c r="F42" s="12" t="s">
        <v>210</v>
      </c>
      <c r="G42" s="12" t="s">
        <v>218</v>
      </c>
      <c r="H42" s="12" t="s">
        <v>216</v>
      </c>
      <c r="I42" s="12" t="s">
        <v>228</v>
      </c>
      <c r="J42" s="12">
        <v>5</v>
      </c>
      <c r="K42" s="12" t="s">
        <v>221</v>
      </c>
      <c r="L42" s="12">
        <v>18</v>
      </c>
      <c r="M42" s="12">
        <v>0.24431</v>
      </c>
      <c r="N42" s="12">
        <v>5.1689999999999958E-2</v>
      </c>
      <c r="O42" s="12">
        <f t="shared" si="1"/>
        <v>0.21930209711719564</v>
      </c>
      <c r="P42" s="12">
        <v>15</v>
      </c>
      <c r="Q42" s="12">
        <v>0.30731999999999998</v>
      </c>
      <c r="R42" s="12">
        <v>7.0800000000000307E-3</v>
      </c>
      <c r="S42" s="12">
        <f t="shared" si="2"/>
        <v>2.7420722091148632E-2</v>
      </c>
      <c r="T42" s="12">
        <v>20</v>
      </c>
      <c r="U42" s="12" t="s">
        <v>213</v>
      </c>
      <c r="W42" s="12">
        <v>0.29399999999999998</v>
      </c>
      <c r="X42" s="12" t="str">
        <f t="shared" si="3"/>
        <v>Low</v>
      </c>
      <c r="Y42" s="12" t="s">
        <v>229</v>
      </c>
      <c r="Z42" s="12">
        <f t="shared" si="4"/>
        <v>-0.22945163929472756</v>
      </c>
      <c r="AA42" s="12">
        <f t="shared" si="5"/>
        <v>4.4764174178532783E-2</v>
      </c>
      <c r="AB42" s="12">
        <f t="shared" si="6"/>
        <v>5.3074372274716829E-4</v>
      </c>
      <c r="AC42" s="12">
        <f t="shared" si="7"/>
        <v>4.529491790127995E-2</v>
      </c>
      <c r="AD42" s="12" t="s">
        <v>212</v>
      </c>
      <c r="AF42" s="12" t="s">
        <v>231</v>
      </c>
    </row>
    <row r="43" spans="1:32" s="13" customFormat="1" ht="15.75" x14ac:dyDescent="0.2">
      <c r="A43" s="13">
        <v>42</v>
      </c>
      <c r="B43" s="13">
        <v>6</v>
      </c>
      <c r="C43" s="13" t="s">
        <v>232</v>
      </c>
      <c r="D43" s="13" t="s">
        <v>238</v>
      </c>
      <c r="E43" s="13" t="s">
        <v>239</v>
      </c>
      <c r="F43" s="13" t="s">
        <v>210</v>
      </c>
      <c r="G43" s="13" t="s">
        <v>223</v>
      </c>
      <c r="H43" s="13" t="s">
        <v>240</v>
      </c>
      <c r="I43" s="13" t="s">
        <v>228</v>
      </c>
      <c r="J43" s="13">
        <v>6</v>
      </c>
      <c r="K43" s="13" t="s">
        <v>241</v>
      </c>
      <c r="L43" s="13">
        <v>5</v>
      </c>
      <c r="M43" s="13">
        <v>8.5550099999999993</v>
      </c>
      <c r="N43" s="13">
        <v>0.34784000000000148</v>
      </c>
      <c r="O43" s="13">
        <f t="shared" si="1"/>
        <v>0.77779388529353022</v>
      </c>
      <c r="P43" s="13">
        <v>5</v>
      </c>
      <c r="Q43" s="13">
        <v>10.13369</v>
      </c>
      <c r="R43" s="13">
        <v>0.49055000000000071</v>
      </c>
      <c r="S43" s="13">
        <f t="shared" si="2"/>
        <v>1.0969031463625234</v>
      </c>
      <c r="T43" s="13">
        <v>5</v>
      </c>
      <c r="U43" s="13" t="s">
        <v>242</v>
      </c>
      <c r="V43" s="13" t="s">
        <v>707</v>
      </c>
      <c r="W43" s="13" t="str">
        <f t="shared" ref="W43:W48" si="9">V43</f>
        <v>2.5 </v>
      </c>
      <c r="X43" s="13" t="str">
        <f t="shared" si="3"/>
        <v>High</v>
      </c>
      <c r="Y43" s="13" t="s">
        <v>243</v>
      </c>
      <c r="Z43" s="13">
        <f t="shared" si="4"/>
        <v>-0.16934844024252912</v>
      </c>
      <c r="AA43" s="13">
        <f t="shared" si="5"/>
        <v>1.653171850751979E-3</v>
      </c>
      <c r="AB43" s="13">
        <f t="shared" si="6"/>
        <v>2.3433185518583698E-3</v>
      </c>
      <c r="AC43" s="13">
        <f t="shared" si="7"/>
        <v>3.9964904026103488E-3</v>
      </c>
      <c r="AD43" s="13" t="s">
        <v>233</v>
      </c>
      <c r="AF43" s="13" t="s">
        <v>244</v>
      </c>
    </row>
    <row r="44" spans="1:32" s="13" customFormat="1" ht="15.75" x14ac:dyDescent="0.2">
      <c r="A44" s="13">
        <v>43</v>
      </c>
      <c r="B44" s="13">
        <v>6</v>
      </c>
      <c r="C44" s="13" t="s">
        <v>232</v>
      </c>
      <c r="D44" s="13" t="s">
        <v>238</v>
      </c>
      <c r="E44" s="13" t="s">
        <v>239</v>
      </c>
      <c r="F44" s="13" t="s">
        <v>210</v>
      </c>
      <c r="G44" s="13" t="s">
        <v>223</v>
      </c>
      <c r="H44" s="13" t="s">
        <v>240</v>
      </c>
      <c r="I44" s="13" t="s">
        <v>228</v>
      </c>
      <c r="J44" s="13">
        <v>6</v>
      </c>
      <c r="K44" s="13" t="s">
        <v>241</v>
      </c>
      <c r="L44" s="13">
        <v>5</v>
      </c>
      <c r="M44" s="13">
        <v>5.9952300000000003</v>
      </c>
      <c r="N44" s="13">
        <v>0.44594999999999985</v>
      </c>
      <c r="O44" s="13">
        <f t="shared" si="1"/>
        <v>0.9971745145660309</v>
      </c>
      <c r="P44" s="13">
        <v>5</v>
      </c>
      <c r="Q44" s="13">
        <v>7.4757999999999996</v>
      </c>
      <c r="R44" s="13">
        <v>0.39244000000000057</v>
      </c>
      <c r="S44" s="13">
        <f t="shared" si="2"/>
        <v>0.87752251709001883</v>
      </c>
      <c r="T44" s="13">
        <v>5</v>
      </c>
      <c r="U44" s="13" t="s">
        <v>242</v>
      </c>
      <c r="V44" s="13" t="s">
        <v>707</v>
      </c>
      <c r="W44" s="13" t="str">
        <f t="shared" si="9"/>
        <v>2.5 </v>
      </c>
      <c r="X44" s="13" t="str">
        <f t="shared" si="3"/>
        <v>High</v>
      </c>
      <c r="Y44" s="13" t="s">
        <v>243</v>
      </c>
      <c r="Z44" s="13">
        <f t="shared" si="4"/>
        <v>-0.22070698391355606</v>
      </c>
      <c r="AA44" s="13">
        <f t="shared" si="5"/>
        <v>5.5329995973657379E-3</v>
      </c>
      <c r="AB44" s="13">
        <f t="shared" si="6"/>
        <v>2.7556952377948618E-3</v>
      </c>
      <c r="AC44" s="13">
        <f t="shared" si="7"/>
        <v>8.2886948351605996E-3</v>
      </c>
      <c r="AD44" s="13" t="s">
        <v>233</v>
      </c>
      <c r="AF44" s="13" t="s">
        <v>244</v>
      </c>
    </row>
    <row r="45" spans="1:32" s="13" customFormat="1" ht="15.75" x14ac:dyDescent="0.2">
      <c r="A45" s="13">
        <v>44</v>
      </c>
      <c r="B45" s="13">
        <v>6</v>
      </c>
      <c r="C45" s="13" t="s">
        <v>232</v>
      </c>
      <c r="D45" s="13" t="s">
        <v>238</v>
      </c>
      <c r="E45" s="13" t="s">
        <v>239</v>
      </c>
      <c r="F45" s="13" t="s">
        <v>210</v>
      </c>
      <c r="G45" s="13" t="s">
        <v>223</v>
      </c>
      <c r="H45" s="13" t="s">
        <v>240</v>
      </c>
      <c r="I45" s="13" t="s">
        <v>228</v>
      </c>
      <c r="J45" s="13">
        <v>6</v>
      </c>
      <c r="K45" s="13" t="s">
        <v>241</v>
      </c>
      <c r="L45" s="13">
        <v>5</v>
      </c>
      <c r="M45" s="13">
        <v>3.1322000000000001</v>
      </c>
      <c r="N45" s="13">
        <v>0.49947000000000008</v>
      </c>
      <c r="O45" s="13">
        <f t="shared" si="1"/>
        <v>1.1168488727218202</v>
      </c>
      <c r="P45" s="13">
        <v>5</v>
      </c>
      <c r="Q45" s="13">
        <v>4.8624999999999998</v>
      </c>
      <c r="R45" s="13">
        <v>0.29433000000000042</v>
      </c>
      <c r="S45" s="13">
        <f t="shared" si="2"/>
        <v>0.65814188781751404</v>
      </c>
      <c r="T45" s="13">
        <v>5</v>
      </c>
      <c r="U45" s="13" t="s">
        <v>242</v>
      </c>
      <c r="V45" s="13" t="s">
        <v>707</v>
      </c>
      <c r="W45" s="13" t="str">
        <f t="shared" si="9"/>
        <v>2.5 </v>
      </c>
      <c r="X45" s="13" t="str">
        <f t="shared" si="3"/>
        <v>High</v>
      </c>
      <c r="Y45" s="13" t="s">
        <v>243</v>
      </c>
      <c r="Z45" s="13">
        <f t="shared" si="4"/>
        <v>-0.43981707589436814</v>
      </c>
      <c r="AA45" s="13">
        <f t="shared" si="5"/>
        <v>2.5428447493333201E-2</v>
      </c>
      <c r="AB45" s="13">
        <f t="shared" si="6"/>
        <v>3.6639524782416297E-3</v>
      </c>
      <c r="AC45" s="13">
        <f t="shared" si="7"/>
        <v>2.9092399971574829E-2</v>
      </c>
      <c r="AD45" s="13" t="s">
        <v>233</v>
      </c>
      <c r="AF45" s="13" t="s">
        <v>244</v>
      </c>
    </row>
    <row r="46" spans="1:32" s="13" customFormat="1" ht="15.75" x14ac:dyDescent="0.2">
      <c r="A46" s="13">
        <v>45</v>
      </c>
      <c r="B46" s="13">
        <v>6</v>
      </c>
      <c r="C46" s="13" t="s">
        <v>232</v>
      </c>
      <c r="D46" s="13" t="s">
        <v>238</v>
      </c>
      <c r="E46" s="13" t="s">
        <v>239</v>
      </c>
      <c r="F46" s="13" t="s">
        <v>210</v>
      </c>
      <c r="G46" s="13" t="s">
        <v>217</v>
      </c>
      <c r="H46" s="13" t="s">
        <v>216</v>
      </c>
      <c r="I46" s="13" t="s">
        <v>228</v>
      </c>
      <c r="J46" s="13">
        <v>6</v>
      </c>
      <c r="K46" s="13" t="s">
        <v>241</v>
      </c>
      <c r="L46" s="13">
        <v>5</v>
      </c>
      <c r="M46" s="13">
        <v>0.85838000000000003</v>
      </c>
      <c r="N46" s="13">
        <v>3.2930000000000015E-2</v>
      </c>
      <c r="O46" s="13">
        <f t="shared" si="1"/>
        <v>7.3633718499068107E-2</v>
      </c>
      <c r="P46" s="13">
        <v>5</v>
      </c>
      <c r="Q46" s="13">
        <v>0.86716000000000004</v>
      </c>
      <c r="R46" s="13">
        <v>4.0250000000000008E-2</v>
      </c>
      <c r="S46" s="13">
        <f t="shared" si="2"/>
        <v>9.0001736094366555E-2</v>
      </c>
      <c r="T46" s="13">
        <v>5</v>
      </c>
      <c r="U46" s="13" t="s">
        <v>242</v>
      </c>
      <c r="V46" s="13" t="s">
        <v>707</v>
      </c>
      <c r="W46" s="13" t="str">
        <f t="shared" si="9"/>
        <v>2.5 </v>
      </c>
      <c r="X46" s="13" t="str">
        <f t="shared" si="3"/>
        <v>High</v>
      </c>
      <c r="Y46" s="13" t="s">
        <v>243</v>
      </c>
      <c r="Z46" s="13">
        <f t="shared" si="4"/>
        <v>-1.0176612276486547E-2</v>
      </c>
      <c r="AA46" s="13">
        <f t="shared" si="5"/>
        <v>1.4717169140555111E-3</v>
      </c>
      <c r="AB46" s="13">
        <f t="shared" si="6"/>
        <v>2.1544345048782726E-3</v>
      </c>
      <c r="AC46" s="13">
        <f t="shared" si="7"/>
        <v>3.6261514189337837E-3</v>
      </c>
      <c r="AD46" s="13" t="s">
        <v>233</v>
      </c>
      <c r="AF46" s="13" t="s">
        <v>244</v>
      </c>
    </row>
    <row r="47" spans="1:32" s="13" customFormat="1" ht="15.75" x14ac:dyDescent="0.2">
      <c r="A47" s="13">
        <v>46</v>
      </c>
      <c r="B47" s="13">
        <v>6</v>
      </c>
      <c r="C47" s="13" t="s">
        <v>232</v>
      </c>
      <c r="D47" s="13" t="s">
        <v>238</v>
      </c>
      <c r="E47" s="13" t="s">
        <v>239</v>
      </c>
      <c r="F47" s="13" t="s">
        <v>210</v>
      </c>
      <c r="G47" s="13" t="s">
        <v>217</v>
      </c>
      <c r="H47" s="13" t="s">
        <v>216</v>
      </c>
      <c r="I47" s="13" t="s">
        <v>228</v>
      </c>
      <c r="J47" s="13">
        <v>6</v>
      </c>
      <c r="K47" s="13" t="s">
        <v>241</v>
      </c>
      <c r="L47" s="13">
        <v>5</v>
      </c>
      <c r="M47" s="13">
        <v>0.74568999999999996</v>
      </c>
      <c r="N47" s="13">
        <v>3.6590000000000011E-2</v>
      </c>
      <c r="O47" s="13">
        <f t="shared" si="1"/>
        <v>8.1817727296717338E-2</v>
      </c>
      <c r="P47" s="13">
        <v>5</v>
      </c>
      <c r="Q47" s="13">
        <v>0.86716000000000004</v>
      </c>
      <c r="R47" s="13">
        <v>3.5860000000000003E-2</v>
      </c>
      <c r="S47" s="13">
        <f t="shared" si="2"/>
        <v>8.0185397673142464E-2</v>
      </c>
      <c r="T47" s="13">
        <v>5</v>
      </c>
      <c r="U47" s="13" t="s">
        <v>242</v>
      </c>
      <c r="V47" s="13" t="s">
        <v>707</v>
      </c>
      <c r="W47" s="13" t="str">
        <f t="shared" si="9"/>
        <v>2.5 </v>
      </c>
      <c r="X47" s="13" t="str">
        <f t="shared" si="3"/>
        <v>High</v>
      </c>
      <c r="Y47" s="13" t="s">
        <v>243</v>
      </c>
      <c r="Z47" s="13">
        <f t="shared" si="4"/>
        <v>-0.15091353991907072</v>
      </c>
      <c r="AA47" s="13">
        <f t="shared" si="5"/>
        <v>2.4077321998181482E-3</v>
      </c>
      <c r="AB47" s="13">
        <f t="shared" si="6"/>
        <v>1.710102323477868E-3</v>
      </c>
      <c r="AC47" s="13">
        <f t="shared" si="7"/>
        <v>4.1178345232960167E-3</v>
      </c>
      <c r="AD47" s="13" t="s">
        <v>233</v>
      </c>
      <c r="AF47" s="13" t="s">
        <v>244</v>
      </c>
    </row>
    <row r="48" spans="1:32" s="13" customFormat="1" ht="15.75" x14ac:dyDescent="0.2">
      <c r="A48" s="13">
        <v>47</v>
      </c>
      <c r="B48" s="13">
        <v>6</v>
      </c>
      <c r="C48" s="13" t="s">
        <v>232</v>
      </c>
      <c r="D48" s="13" t="s">
        <v>238</v>
      </c>
      <c r="E48" s="13" t="s">
        <v>239</v>
      </c>
      <c r="F48" s="13" t="s">
        <v>210</v>
      </c>
      <c r="G48" s="13" t="s">
        <v>217</v>
      </c>
      <c r="H48" s="13" t="s">
        <v>216</v>
      </c>
      <c r="I48" s="13" t="s">
        <v>228</v>
      </c>
      <c r="J48" s="13">
        <v>6</v>
      </c>
      <c r="K48" s="13" t="s">
        <v>241</v>
      </c>
      <c r="L48" s="13">
        <v>5</v>
      </c>
      <c r="M48" s="13">
        <v>0.51517999999999997</v>
      </c>
      <c r="N48" s="13">
        <v>3.6590000000000011E-2</v>
      </c>
      <c r="O48" s="13">
        <f t="shared" si="1"/>
        <v>8.1817727296717338E-2</v>
      </c>
      <c r="P48" s="13">
        <v>5</v>
      </c>
      <c r="Q48" s="13">
        <v>0.55981999999999998</v>
      </c>
      <c r="R48" s="13">
        <v>2.7800000000000047E-2</v>
      </c>
      <c r="S48" s="13">
        <f t="shared" si="2"/>
        <v>6.2162689774494261E-2</v>
      </c>
      <c r="T48" s="13">
        <v>5</v>
      </c>
      <c r="U48" s="13" t="s">
        <v>242</v>
      </c>
      <c r="V48" s="13" t="s">
        <v>707</v>
      </c>
      <c r="W48" s="13" t="str">
        <f t="shared" si="9"/>
        <v>2.5 </v>
      </c>
      <c r="X48" s="13" t="str">
        <f t="shared" si="3"/>
        <v>High</v>
      </c>
      <c r="Y48" s="13" t="s">
        <v>243</v>
      </c>
      <c r="Z48" s="13">
        <f t="shared" si="4"/>
        <v>-8.3098949327674199E-2</v>
      </c>
      <c r="AA48" s="13">
        <f t="shared" si="5"/>
        <v>5.0443687834480213E-3</v>
      </c>
      <c r="AB48" s="13">
        <f t="shared" si="6"/>
        <v>2.4659982951465544E-3</v>
      </c>
      <c r="AC48" s="13">
        <f t="shared" si="7"/>
        <v>7.5103670785945757E-3</v>
      </c>
      <c r="AD48" s="13" t="s">
        <v>233</v>
      </c>
      <c r="AF48" s="13" t="s">
        <v>244</v>
      </c>
    </row>
    <row r="49" spans="1:32" s="14" customFormat="1" ht="15.75" x14ac:dyDescent="0.2">
      <c r="A49" s="14">
        <v>48</v>
      </c>
      <c r="B49" s="14">
        <v>7</v>
      </c>
      <c r="C49" s="14" t="s">
        <v>245</v>
      </c>
      <c r="D49" s="14" t="s">
        <v>246</v>
      </c>
      <c r="E49" s="14" t="s">
        <v>249</v>
      </c>
      <c r="F49" s="14" t="s">
        <v>210</v>
      </c>
      <c r="G49" s="14" t="s">
        <v>256</v>
      </c>
      <c r="H49" s="14" t="s">
        <v>255</v>
      </c>
      <c r="I49" s="14" t="s">
        <v>260</v>
      </c>
      <c r="J49" s="14">
        <v>7</v>
      </c>
      <c r="K49" s="14" t="s">
        <v>257</v>
      </c>
      <c r="L49" s="14">
        <v>6</v>
      </c>
      <c r="M49" s="14">
        <v>2.3529200000000001</v>
      </c>
      <c r="O49" s="14">
        <v>0.11209999999999987</v>
      </c>
      <c r="P49" s="14">
        <v>6</v>
      </c>
      <c r="Q49" s="14">
        <v>2.2917800000000002</v>
      </c>
      <c r="S49" s="14">
        <v>0.13077999999999967</v>
      </c>
      <c r="T49" s="14">
        <v>6</v>
      </c>
      <c r="U49" s="14" t="s">
        <v>250</v>
      </c>
      <c r="V49" s="14">
        <v>20</v>
      </c>
      <c r="W49" s="14">
        <f>(V49 / 1000) * 1000</f>
        <v>20</v>
      </c>
      <c r="X49" s="14" t="str">
        <f t="shared" si="3"/>
        <v>High</v>
      </c>
      <c r="Y49" s="14" t="s">
        <v>248</v>
      </c>
      <c r="Z49" s="14">
        <f t="shared" si="4"/>
        <v>2.6328301810075734E-2</v>
      </c>
      <c r="AA49" s="14">
        <f t="shared" si="5"/>
        <v>3.7830811055701276E-4</v>
      </c>
      <c r="AB49" s="14">
        <f t="shared" si="6"/>
        <v>5.4273217088235176E-4</v>
      </c>
      <c r="AC49" s="14">
        <f t="shared" si="7"/>
        <v>9.2104028143936457E-4</v>
      </c>
      <c r="AD49" s="14" t="s">
        <v>247</v>
      </c>
      <c r="AF49" s="14" t="s">
        <v>258</v>
      </c>
    </row>
    <row r="50" spans="1:32" s="14" customFormat="1" ht="15.75" x14ac:dyDescent="0.2">
      <c r="A50" s="14">
        <v>49</v>
      </c>
      <c r="B50" s="14">
        <v>7</v>
      </c>
      <c r="C50" s="14" t="s">
        <v>245</v>
      </c>
      <c r="D50" s="14" t="s">
        <v>246</v>
      </c>
      <c r="E50" s="14" t="s">
        <v>249</v>
      </c>
      <c r="F50" s="14" t="s">
        <v>133</v>
      </c>
      <c r="G50" s="14" t="s">
        <v>256</v>
      </c>
      <c r="H50" s="14" t="s">
        <v>255</v>
      </c>
      <c r="I50" s="14" t="s">
        <v>260</v>
      </c>
      <c r="J50" s="14">
        <v>7</v>
      </c>
      <c r="K50" s="14" t="s">
        <v>257</v>
      </c>
      <c r="L50" s="14">
        <v>6</v>
      </c>
      <c r="M50" s="14">
        <v>2.3257500000000002</v>
      </c>
      <c r="O50" s="14">
        <v>0.12229000000000001</v>
      </c>
      <c r="P50" s="14">
        <v>6</v>
      </c>
      <c r="Q50" s="14">
        <v>2.3002699999999998</v>
      </c>
      <c r="S50" s="14">
        <v>0.16475000000000017</v>
      </c>
      <c r="T50" s="14">
        <v>6</v>
      </c>
      <c r="U50" s="14" t="s">
        <v>250</v>
      </c>
      <c r="V50" s="14">
        <v>20</v>
      </c>
      <c r="W50" s="14">
        <f t="shared" ref="W50:W64" si="10">(V50 / 1000) * 1000</f>
        <v>20</v>
      </c>
      <c r="X50" s="14" t="str">
        <f t="shared" si="3"/>
        <v>High</v>
      </c>
      <c r="Y50" s="14" t="s">
        <v>248</v>
      </c>
      <c r="Z50" s="14">
        <f t="shared" si="4"/>
        <v>1.1016060316899175E-2</v>
      </c>
      <c r="AA50" s="14">
        <f t="shared" si="5"/>
        <v>4.6079162847350203E-4</v>
      </c>
      <c r="AB50" s="14">
        <f t="shared" si="6"/>
        <v>8.5495245810731063E-4</v>
      </c>
      <c r="AC50" s="14">
        <f t="shared" si="7"/>
        <v>1.3157440865808126E-3</v>
      </c>
      <c r="AD50" s="14" t="s">
        <v>247</v>
      </c>
      <c r="AF50" s="14" t="s">
        <v>259</v>
      </c>
    </row>
    <row r="51" spans="1:32" s="14" customFormat="1" ht="15.75" x14ac:dyDescent="0.2">
      <c r="A51" s="14">
        <v>50</v>
      </c>
      <c r="B51" s="14">
        <v>7</v>
      </c>
      <c r="C51" s="14" t="s">
        <v>245</v>
      </c>
      <c r="D51" s="14" t="s">
        <v>246</v>
      </c>
      <c r="E51" s="14" t="s">
        <v>249</v>
      </c>
      <c r="F51" s="14" t="s">
        <v>133</v>
      </c>
      <c r="G51" s="14" t="s">
        <v>256</v>
      </c>
      <c r="H51" s="14" t="s">
        <v>255</v>
      </c>
      <c r="I51" s="14" t="s">
        <v>260</v>
      </c>
      <c r="J51" s="14">
        <v>7</v>
      </c>
      <c r="K51" s="14" t="s">
        <v>257</v>
      </c>
      <c r="L51" s="14">
        <v>6</v>
      </c>
      <c r="M51" s="14">
        <v>2.2902300000000002</v>
      </c>
      <c r="O51" s="14">
        <v>0.20041999999999982</v>
      </c>
      <c r="P51" s="14">
        <v>6</v>
      </c>
      <c r="Q51" s="14">
        <v>2.2917800000000002</v>
      </c>
      <c r="S51" s="14">
        <v>0.13077999999999967</v>
      </c>
      <c r="T51" s="14">
        <v>6</v>
      </c>
      <c r="U51" s="14" t="s">
        <v>251</v>
      </c>
      <c r="V51" s="14">
        <v>40</v>
      </c>
      <c r="W51" s="14">
        <f t="shared" si="10"/>
        <v>40</v>
      </c>
      <c r="X51" s="14" t="str">
        <f t="shared" si="3"/>
        <v>High</v>
      </c>
      <c r="Y51" s="14" t="s">
        <v>248</v>
      </c>
      <c r="Z51" s="14">
        <f t="shared" si="4"/>
        <v>-6.7655900319890433E-4</v>
      </c>
      <c r="AA51" s="14">
        <f t="shared" si="5"/>
        <v>1.2763584758354808E-3</v>
      </c>
      <c r="AB51" s="14">
        <f t="shared" si="6"/>
        <v>5.4273217088235176E-4</v>
      </c>
      <c r="AC51" s="14">
        <f t="shared" si="7"/>
        <v>1.8190906467178327E-3</v>
      </c>
      <c r="AD51" s="14" t="s">
        <v>247</v>
      </c>
      <c r="AF51" s="14" t="s">
        <v>258</v>
      </c>
    </row>
    <row r="52" spans="1:32" s="14" customFormat="1" ht="15.75" x14ac:dyDescent="0.2">
      <c r="A52" s="14">
        <v>51</v>
      </c>
      <c r="B52" s="14">
        <v>7</v>
      </c>
      <c r="C52" s="14" t="s">
        <v>245</v>
      </c>
      <c r="D52" s="14" t="s">
        <v>246</v>
      </c>
      <c r="E52" s="14" t="s">
        <v>249</v>
      </c>
      <c r="F52" s="14" t="s">
        <v>133</v>
      </c>
      <c r="G52" s="14" t="s">
        <v>256</v>
      </c>
      <c r="H52" s="14" t="s">
        <v>255</v>
      </c>
      <c r="I52" s="14" t="s">
        <v>260</v>
      </c>
      <c r="J52" s="14">
        <v>7</v>
      </c>
      <c r="K52" s="14" t="s">
        <v>257</v>
      </c>
      <c r="L52" s="14">
        <v>6</v>
      </c>
      <c r="M52" s="14">
        <v>2.2917800000000002</v>
      </c>
      <c r="O52" s="14">
        <v>0.14776999999999996</v>
      </c>
      <c r="P52" s="14">
        <v>6</v>
      </c>
      <c r="Q52" s="14">
        <v>2.3002699999999998</v>
      </c>
      <c r="S52" s="14">
        <v>0.16475000000000017</v>
      </c>
      <c r="T52" s="14">
        <v>6</v>
      </c>
      <c r="U52" s="14" t="s">
        <v>251</v>
      </c>
      <c r="V52" s="14">
        <v>40</v>
      </c>
      <c r="W52" s="14">
        <f t="shared" si="10"/>
        <v>40</v>
      </c>
      <c r="X52" s="14" t="str">
        <f t="shared" si="3"/>
        <v>High</v>
      </c>
      <c r="Y52" s="14" t="s">
        <v>248</v>
      </c>
      <c r="Z52" s="14">
        <f t="shared" si="4"/>
        <v>-3.6976991424875938E-3</v>
      </c>
      <c r="AA52" s="14">
        <f t="shared" si="5"/>
        <v>6.929077934749692E-4</v>
      </c>
      <c r="AB52" s="14">
        <f t="shared" si="6"/>
        <v>8.5495245810731063E-4</v>
      </c>
      <c r="AC52" s="14">
        <f t="shared" si="7"/>
        <v>1.5478602515822798E-3</v>
      </c>
      <c r="AD52" s="14" t="s">
        <v>247</v>
      </c>
      <c r="AF52" s="14" t="s">
        <v>259</v>
      </c>
    </row>
    <row r="53" spans="1:32" s="14" customFormat="1" ht="15.75" x14ac:dyDescent="0.2">
      <c r="A53" s="14">
        <v>52</v>
      </c>
      <c r="B53" s="14">
        <v>7</v>
      </c>
      <c r="C53" s="14" t="s">
        <v>245</v>
      </c>
      <c r="D53" s="14" t="s">
        <v>246</v>
      </c>
      <c r="E53" s="14" t="s">
        <v>249</v>
      </c>
      <c r="F53" s="14" t="s">
        <v>133</v>
      </c>
      <c r="G53" s="14" t="s">
        <v>256</v>
      </c>
      <c r="H53" s="14" t="s">
        <v>255</v>
      </c>
      <c r="I53" s="14" t="s">
        <v>260</v>
      </c>
      <c r="J53" s="14">
        <v>7</v>
      </c>
      <c r="K53" s="14" t="s">
        <v>257</v>
      </c>
      <c r="L53" s="14">
        <v>6</v>
      </c>
      <c r="M53" s="14">
        <v>2.3529200000000001</v>
      </c>
      <c r="O53" s="14">
        <v>0.11209999999999987</v>
      </c>
      <c r="P53" s="14">
        <v>6</v>
      </c>
      <c r="Q53" s="14">
        <v>2.2917800000000002</v>
      </c>
      <c r="S53" s="14">
        <v>0.13077999999999967</v>
      </c>
      <c r="T53" s="14">
        <v>6</v>
      </c>
      <c r="U53" s="14" t="s">
        <v>252</v>
      </c>
      <c r="V53" s="14">
        <v>60</v>
      </c>
      <c r="W53" s="14">
        <f t="shared" si="10"/>
        <v>60</v>
      </c>
      <c r="X53" s="14" t="str">
        <f t="shared" si="3"/>
        <v>High</v>
      </c>
      <c r="Y53" s="14" t="s">
        <v>248</v>
      </c>
      <c r="Z53" s="14">
        <f t="shared" si="4"/>
        <v>2.6328301810075734E-2</v>
      </c>
      <c r="AA53" s="14">
        <f t="shared" si="5"/>
        <v>3.7830811055701276E-4</v>
      </c>
      <c r="AB53" s="14">
        <f t="shared" si="6"/>
        <v>5.4273217088235176E-4</v>
      </c>
      <c r="AC53" s="14">
        <f t="shared" si="7"/>
        <v>9.2104028143936457E-4</v>
      </c>
      <c r="AD53" s="14" t="s">
        <v>247</v>
      </c>
      <c r="AF53" s="14" t="s">
        <v>258</v>
      </c>
    </row>
    <row r="54" spans="1:32" s="14" customFormat="1" ht="15.75" x14ac:dyDescent="0.2">
      <c r="A54" s="14">
        <v>53</v>
      </c>
      <c r="B54" s="14">
        <v>7</v>
      </c>
      <c r="C54" s="14" t="s">
        <v>245</v>
      </c>
      <c r="D54" s="14" t="s">
        <v>246</v>
      </c>
      <c r="E54" s="14" t="s">
        <v>249</v>
      </c>
      <c r="F54" s="14" t="s">
        <v>133</v>
      </c>
      <c r="G54" s="14" t="s">
        <v>256</v>
      </c>
      <c r="H54" s="14" t="s">
        <v>255</v>
      </c>
      <c r="I54" s="14" t="s">
        <v>260</v>
      </c>
      <c r="J54" s="14">
        <v>7</v>
      </c>
      <c r="K54" s="14" t="s">
        <v>257</v>
      </c>
      <c r="L54" s="14">
        <v>6</v>
      </c>
      <c r="M54" s="14">
        <v>2.3614199999999999</v>
      </c>
      <c r="O54" s="14">
        <v>0.16475000000000017</v>
      </c>
      <c r="P54" s="14">
        <v>6</v>
      </c>
      <c r="Q54" s="14">
        <v>2.3002699999999998</v>
      </c>
      <c r="S54" s="14">
        <v>0.16475000000000017</v>
      </c>
      <c r="T54" s="14">
        <v>6</v>
      </c>
      <c r="U54" s="14" t="s">
        <v>252</v>
      </c>
      <c r="V54" s="14">
        <v>60</v>
      </c>
      <c r="W54" s="14">
        <f t="shared" si="10"/>
        <v>60</v>
      </c>
      <c r="X54" s="14" t="str">
        <f t="shared" si="3"/>
        <v>High</v>
      </c>
      <c r="Y54" s="14" t="s">
        <v>248</v>
      </c>
      <c r="Z54" s="14">
        <f t="shared" si="4"/>
        <v>2.623662565733471E-2</v>
      </c>
      <c r="AA54" s="14">
        <f t="shared" si="5"/>
        <v>8.1124703367381186E-4</v>
      </c>
      <c r="AB54" s="14">
        <f t="shared" si="6"/>
        <v>8.5495245810731063E-4</v>
      </c>
      <c r="AC54" s="14">
        <f t="shared" si="7"/>
        <v>1.6661994917811225E-3</v>
      </c>
      <c r="AD54" s="14" t="s">
        <v>247</v>
      </c>
      <c r="AF54" s="14" t="s">
        <v>259</v>
      </c>
    </row>
    <row r="55" spans="1:32" s="14" customFormat="1" ht="15.75" x14ac:dyDescent="0.2">
      <c r="A55" s="14">
        <v>54</v>
      </c>
      <c r="B55" s="14">
        <v>7</v>
      </c>
      <c r="C55" s="14" t="s">
        <v>245</v>
      </c>
      <c r="D55" s="14" t="s">
        <v>246</v>
      </c>
      <c r="E55" s="14" t="s">
        <v>249</v>
      </c>
      <c r="F55" s="14" t="s">
        <v>133</v>
      </c>
      <c r="G55" s="14" t="s">
        <v>256</v>
      </c>
      <c r="H55" s="14" t="s">
        <v>255</v>
      </c>
      <c r="I55" s="14" t="s">
        <v>260</v>
      </c>
      <c r="J55" s="14">
        <v>7</v>
      </c>
      <c r="K55" s="14" t="s">
        <v>257</v>
      </c>
      <c r="L55" s="14">
        <v>6</v>
      </c>
      <c r="M55" s="14">
        <v>2.40388</v>
      </c>
      <c r="O55" s="14">
        <v>0.1137999999999999</v>
      </c>
      <c r="P55" s="14">
        <v>6</v>
      </c>
      <c r="Q55" s="14">
        <v>2.2917800000000002</v>
      </c>
      <c r="S55" s="14">
        <v>0.13077999999999967</v>
      </c>
      <c r="T55" s="14">
        <v>6</v>
      </c>
      <c r="U55" s="14" t="s">
        <v>253</v>
      </c>
      <c r="V55" s="14">
        <v>120</v>
      </c>
      <c r="W55" s="14">
        <f t="shared" si="10"/>
        <v>120</v>
      </c>
      <c r="X55" s="14" t="str">
        <f t="shared" si="3"/>
        <v>High</v>
      </c>
      <c r="Y55" s="14" t="s">
        <v>248</v>
      </c>
      <c r="Z55" s="14">
        <f t="shared" si="4"/>
        <v>4.775529041460725E-2</v>
      </c>
      <c r="AA55" s="14">
        <f t="shared" si="5"/>
        <v>3.7351470585850107E-4</v>
      </c>
      <c r="AB55" s="14">
        <f t="shared" si="6"/>
        <v>5.4273217088235176E-4</v>
      </c>
      <c r="AC55" s="14">
        <f t="shared" si="7"/>
        <v>9.1624687674085278E-4</v>
      </c>
      <c r="AD55" s="14" t="s">
        <v>247</v>
      </c>
      <c r="AF55" s="14" t="s">
        <v>258</v>
      </c>
    </row>
    <row r="56" spans="1:32" s="14" customFormat="1" ht="15.75" x14ac:dyDescent="0.2">
      <c r="A56" s="14">
        <v>55</v>
      </c>
      <c r="B56" s="14">
        <v>7</v>
      </c>
      <c r="C56" s="14" t="s">
        <v>245</v>
      </c>
      <c r="D56" s="14" t="s">
        <v>246</v>
      </c>
      <c r="E56" s="14" t="s">
        <v>249</v>
      </c>
      <c r="F56" s="14" t="s">
        <v>133</v>
      </c>
      <c r="G56" s="14" t="s">
        <v>256</v>
      </c>
      <c r="H56" s="14" t="s">
        <v>255</v>
      </c>
      <c r="I56" s="14" t="s">
        <v>260</v>
      </c>
      <c r="J56" s="14">
        <v>7</v>
      </c>
      <c r="K56" s="14" t="s">
        <v>257</v>
      </c>
      <c r="L56" s="14">
        <v>6</v>
      </c>
      <c r="M56" s="14">
        <v>2.3784000000000001</v>
      </c>
      <c r="O56" s="14">
        <v>0.13078000000000012</v>
      </c>
      <c r="P56" s="14">
        <v>6</v>
      </c>
      <c r="Q56" s="14">
        <v>2.3002699999999998</v>
      </c>
      <c r="S56" s="14">
        <v>0.16475000000000017</v>
      </c>
      <c r="T56" s="14">
        <v>6</v>
      </c>
      <c r="U56" s="14" t="s">
        <v>253</v>
      </c>
      <c r="V56" s="14">
        <v>120</v>
      </c>
      <c r="W56" s="14">
        <f t="shared" si="10"/>
        <v>120</v>
      </c>
      <c r="X56" s="14" t="str">
        <f t="shared" si="3"/>
        <v>High</v>
      </c>
      <c r="Y56" s="14" t="s">
        <v>248</v>
      </c>
      <c r="Z56" s="14">
        <f t="shared" si="4"/>
        <v>3.3401485352119183E-2</v>
      </c>
      <c r="AA56" s="14">
        <f t="shared" si="5"/>
        <v>5.0392003241265507E-4</v>
      </c>
      <c r="AB56" s="14">
        <f t="shared" si="6"/>
        <v>8.5495245810731063E-4</v>
      </c>
      <c r="AC56" s="14">
        <f t="shared" si="7"/>
        <v>1.3588724905199657E-3</v>
      </c>
      <c r="AD56" s="14" t="s">
        <v>247</v>
      </c>
      <c r="AF56" s="14" t="s">
        <v>259</v>
      </c>
    </row>
    <row r="57" spans="1:32" s="14" customFormat="1" ht="15.75" x14ac:dyDescent="0.2">
      <c r="A57" s="14">
        <v>56</v>
      </c>
      <c r="B57" s="14">
        <v>7</v>
      </c>
      <c r="C57" s="14" t="s">
        <v>245</v>
      </c>
      <c r="D57" s="14" t="s">
        <v>246</v>
      </c>
      <c r="E57" s="14" t="s">
        <v>249</v>
      </c>
      <c r="F57" s="14" t="s">
        <v>133</v>
      </c>
      <c r="G57" s="14" t="s">
        <v>256</v>
      </c>
      <c r="H57" s="14" t="s">
        <v>255</v>
      </c>
      <c r="I57" s="14" t="s">
        <v>260</v>
      </c>
      <c r="J57" s="14">
        <v>7</v>
      </c>
      <c r="K57" s="14" t="s">
        <v>257</v>
      </c>
      <c r="L57" s="14">
        <v>6</v>
      </c>
      <c r="M57" s="14">
        <v>2.4395500000000001</v>
      </c>
      <c r="O57" s="14">
        <v>9.5110000000000028E-2</v>
      </c>
      <c r="P57" s="14">
        <v>6</v>
      </c>
      <c r="Q57" s="14">
        <v>2.2917800000000002</v>
      </c>
      <c r="S57" s="14">
        <v>0.13077999999999967</v>
      </c>
      <c r="T57" s="14">
        <v>6</v>
      </c>
      <c r="U57" s="14" t="s">
        <v>254</v>
      </c>
      <c r="V57" s="14">
        <v>320</v>
      </c>
      <c r="W57" s="14">
        <f t="shared" si="10"/>
        <v>320</v>
      </c>
      <c r="X57" s="14" t="str">
        <f t="shared" si="3"/>
        <v>High</v>
      </c>
      <c r="Y57" s="14" t="s">
        <v>248</v>
      </c>
      <c r="Z57" s="14">
        <f t="shared" si="4"/>
        <v>6.248478785984992E-2</v>
      </c>
      <c r="AA57" s="14">
        <f t="shared" si="5"/>
        <v>2.5332710825343526E-4</v>
      </c>
      <c r="AB57" s="14">
        <f t="shared" si="6"/>
        <v>5.4273217088235176E-4</v>
      </c>
      <c r="AC57" s="14">
        <f t="shared" si="7"/>
        <v>7.9605927913578697E-4</v>
      </c>
      <c r="AD57" s="14" t="s">
        <v>247</v>
      </c>
      <c r="AF57" s="14" t="s">
        <v>258</v>
      </c>
    </row>
    <row r="58" spans="1:32" s="14" customFormat="1" ht="15.75" x14ac:dyDescent="0.2">
      <c r="A58" s="14">
        <v>57</v>
      </c>
      <c r="B58" s="14">
        <v>7</v>
      </c>
      <c r="C58" s="14" t="s">
        <v>245</v>
      </c>
      <c r="D58" s="14" t="s">
        <v>246</v>
      </c>
      <c r="E58" s="14" t="s">
        <v>249</v>
      </c>
      <c r="F58" s="14" t="s">
        <v>133</v>
      </c>
      <c r="G58" s="14" t="s">
        <v>256</v>
      </c>
      <c r="H58" s="14" t="s">
        <v>255</v>
      </c>
      <c r="I58" s="14" t="s">
        <v>260</v>
      </c>
      <c r="J58" s="14">
        <v>7</v>
      </c>
      <c r="K58" s="14" t="s">
        <v>257</v>
      </c>
      <c r="L58" s="14">
        <v>6</v>
      </c>
      <c r="M58" s="14">
        <v>2.3868900000000002</v>
      </c>
      <c r="O58" s="14">
        <v>0.14776999999999996</v>
      </c>
      <c r="P58" s="14">
        <v>6</v>
      </c>
      <c r="Q58" s="14">
        <v>2.3002699999999998</v>
      </c>
      <c r="S58" s="14">
        <v>0.16475000000000017</v>
      </c>
      <c r="T58" s="14">
        <v>6</v>
      </c>
      <c r="U58" s="14" t="s">
        <v>254</v>
      </c>
      <c r="V58" s="14">
        <v>320</v>
      </c>
      <c r="W58" s="14">
        <f t="shared" si="10"/>
        <v>320</v>
      </c>
      <c r="X58" s="14" t="str">
        <f t="shared" si="3"/>
        <v>High</v>
      </c>
      <c r="Y58" s="14" t="s">
        <v>248</v>
      </c>
      <c r="Z58" s="14">
        <f t="shared" si="4"/>
        <v>3.6964755995900836E-2</v>
      </c>
      <c r="AA58" s="14">
        <f t="shared" si="5"/>
        <v>6.3878761351411303E-4</v>
      </c>
      <c r="AB58" s="14">
        <f t="shared" si="6"/>
        <v>8.5495245810731063E-4</v>
      </c>
      <c r="AC58" s="14">
        <f t="shared" si="7"/>
        <v>1.4937400716214235E-3</v>
      </c>
      <c r="AD58" s="14" t="s">
        <v>247</v>
      </c>
      <c r="AF58" s="14" t="s">
        <v>259</v>
      </c>
    </row>
    <row r="59" spans="1:32" s="17" customFormat="1" ht="15.75" x14ac:dyDescent="0.2">
      <c r="A59" s="17">
        <v>58</v>
      </c>
      <c r="B59" s="17">
        <v>8</v>
      </c>
      <c r="C59" s="17" t="s">
        <v>292</v>
      </c>
      <c r="D59" s="17" t="s">
        <v>293</v>
      </c>
      <c r="E59" s="17" t="s">
        <v>294</v>
      </c>
      <c r="F59" s="17" t="s">
        <v>295</v>
      </c>
      <c r="G59" s="17" t="s">
        <v>304</v>
      </c>
      <c r="H59" s="17" t="s">
        <v>302</v>
      </c>
      <c r="I59" s="17" t="s">
        <v>301</v>
      </c>
      <c r="J59" s="17">
        <v>8</v>
      </c>
      <c r="K59" s="17" t="s">
        <v>291</v>
      </c>
      <c r="L59" s="17">
        <v>3</v>
      </c>
      <c r="M59" s="17">
        <v>1.4944500000000001</v>
      </c>
      <c r="N59" s="17">
        <v>2.0959999999999868E-2</v>
      </c>
      <c r="O59" s="17">
        <f xml:space="preserve"> N59*SQRT(L59)</f>
        <v>3.6303784926643434E-2</v>
      </c>
      <c r="P59" s="17">
        <v>3</v>
      </c>
      <c r="Q59" s="17">
        <v>1.49434</v>
      </c>
      <c r="R59" s="17">
        <v>4.3770000000000087E-2</v>
      </c>
      <c r="S59" s="17">
        <f xml:space="preserve"> R59*SQRT(P59)</f>
        <v>7.5811863847289898E-2</v>
      </c>
      <c r="T59" s="17">
        <v>3</v>
      </c>
      <c r="U59" s="17">
        <v>0.01</v>
      </c>
      <c r="V59" s="17">
        <v>0.01</v>
      </c>
      <c r="W59" s="17">
        <f t="shared" si="10"/>
        <v>0.01</v>
      </c>
      <c r="X59" s="17" t="str">
        <f t="shared" si="3"/>
        <v>Low</v>
      </c>
      <c r="Y59" s="17" t="s">
        <v>297</v>
      </c>
      <c r="Z59" s="17">
        <f t="shared" si="4"/>
        <v>7.3608383359051796E-5</v>
      </c>
      <c r="AA59" s="17">
        <f t="shared" si="5"/>
        <v>1.9670698320153323E-4</v>
      </c>
      <c r="AB59" s="17">
        <f t="shared" si="6"/>
        <v>8.5793473213231514E-4</v>
      </c>
      <c r="AC59" s="17">
        <f t="shared" si="7"/>
        <v>1.0546417153338484E-3</v>
      </c>
      <c r="AD59" s="17" t="s">
        <v>298</v>
      </c>
      <c r="AF59" s="17" t="s">
        <v>305</v>
      </c>
    </row>
    <row r="60" spans="1:32" s="17" customFormat="1" ht="15.75" x14ac:dyDescent="0.2">
      <c r="A60" s="17">
        <v>59</v>
      </c>
      <c r="B60" s="17">
        <v>8</v>
      </c>
      <c r="C60" s="17" t="s">
        <v>292</v>
      </c>
      <c r="D60" s="17" t="s">
        <v>293</v>
      </c>
      <c r="E60" s="17" t="s">
        <v>294</v>
      </c>
      <c r="F60" s="17" t="s">
        <v>295</v>
      </c>
      <c r="G60" s="17" t="s">
        <v>304</v>
      </c>
      <c r="H60" s="17" t="s">
        <v>302</v>
      </c>
      <c r="I60" s="17" t="s">
        <v>301</v>
      </c>
      <c r="J60" s="17">
        <v>8</v>
      </c>
      <c r="K60" s="17" t="s">
        <v>291</v>
      </c>
      <c r="L60" s="17">
        <v>3</v>
      </c>
      <c r="M60" s="17">
        <v>1.47235</v>
      </c>
      <c r="N60" s="17">
        <v>2.2039999999999837E-2</v>
      </c>
      <c r="O60" s="17">
        <f t="shared" ref="O60:O88" si="11" xml:space="preserve"> N60*SQRT(L60)</f>
        <v>3.8174399798817774E-2</v>
      </c>
      <c r="P60" s="17">
        <v>3</v>
      </c>
      <c r="Q60" s="17">
        <v>1.49434</v>
      </c>
      <c r="R60" s="17">
        <v>4.3770000000000087E-2</v>
      </c>
      <c r="S60" s="17">
        <f t="shared" ref="S60:S88" si="12" xml:space="preserve"> R60*SQRT(P60)</f>
        <v>7.5811863847289898E-2</v>
      </c>
      <c r="T60" s="17">
        <v>3</v>
      </c>
      <c r="U60" s="17">
        <v>0.01</v>
      </c>
      <c r="V60" s="17">
        <v>0.01</v>
      </c>
      <c r="W60" s="17">
        <f t="shared" si="10"/>
        <v>0.01</v>
      </c>
      <c r="X60" s="17" t="str">
        <f t="shared" si="3"/>
        <v>Low</v>
      </c>
      <c r="Y60" s="17" t="s">
        <v>297</v>
      </c>
      <c r="Z60" s="17">
        <f t="shared" si="4"/>
        <v>-1.4824874010883893E-2</v>
      </c>
      <c r="AA60" s="17">
        <f t="shared" si="5"/>
        <v>2.2407894907899937E-4</v>
      </c>
      <c r="AB60" s="17">
        <f t="shared" si="6"/>
        <v>8.5793473213231514E-4</v>
      </c>
      <c r="AC60" s="17">
        <f t="shared" si="7"/>
        <v>1.0820136812113145E-3</v>
      </c>
      <c r="AD60" s="17" t="s">
        <v>299</v>
      </c>
      <c r="AF60" s="17" t="s">
        <v>305</v>
      </c>
    </row>
    <row r="61" spans="1:32" s="17" customFormat="1" ht="15.75" x14ac:dyDescent="0.2">
      <c r="A61" s="17">
        <v>60</v>
      </c>
      <c r="B61" s="17">
        <v>8</v>
      </c>
      <c r="C61" s="17" t="s">
        <v>292</v>
      </c>
      <c r="D61" s="17" t="s">
        <v>293</v>
      </c>
      <c r="E61" s="17" t="s">
        <v>294</v>
      </c>
      <c r="F61" s="17" t="s">
        <v>295</v>
      </c>
      <c r="G61" s="17" t="s">
        <v>304</v>
      </c>
      <c r="H61" s="17" t="s">
        <v>302</v>
      </c>
      <c r="I61" s="17" t="s">
        <v>301</v>
      </c>
      <c r="J61" s="17">
        <v>8</v>
      </c>
      <c r="K61" s="17" t="s">
        <v>291</v>
      </c>
      <c r="L61" s="17">
        <v>3</v>
      </c>
      <c r="M61" s="17">
        <v>1.4835</v>
      </c>
      <c r="N61" s="17">
        <v>5.7629999999999848E-2</v>
      </c>
      <c r="O61" s="17">
        <f t="shared" si="11"/>
        <v>9.9818088040194125E-2</v>
      </c>
      <c r="P61" s="17">
        <v>3</v>
      </c>
      <c r="Q61" s="17">
        <v>1.49434</v>
      </c>
      <c r="R61" s="17">
        <v>4.3770000000000087E-2</v>
      </c>
      <c r="S61" s="17">
        <f t="shared" si="12"/>
        <v>7.5811863847289898E-2</v>
      </c>
      <c r="T61" s="17">
        <v>3</v>
      </c>
      <c r="U61" s="17">
        <v>0.04</v>
      </c>
      <c r="V61" s="17">
        <v>0.04</v>
      </c>
      <c r="W61" s="17">
        <f t="shared" si="10"/>
        <v>0.04</v>
      </c>
      <c r="X61" s="17" t="str">
        <f t="shared" si="3"/>
        <v>Low</v>
      </c>
      <c r="Y61" s="17" t="s">
        <v>297</v>
      </c>
      <c r="Z61" s="17">
        <f t="shared" si="4"/>
        <v>-7.2804770447394583E-3</v>
      </c>
      <c r="AA61" s="17">
        <f t="shared" si="5"/>
        <v>1.5091143120329611E-3</v>
      </c>
      <c r="AB61" s="17">
        <f t="shared" si="6"/>
        <v>8.5793473213231514E-4</v>
      </c>
      <c r="AC61" s="17">
        <f t="shared" si="7"/>
        <v>2.367049044165276E-3</v>
      </c>
      <c r="AD61" s="17" t="s">
        <v>299</v>
      </c>
      <c r="AF61" s="17" t="s">
        <v>305</v>
      </c>
    </row>
    <row r="62" spans="1:32" s="17" customFormat="1" ht="15.75" x14ac:dyDescent="0.2">
      <c r="A62" s="17">
        <v>61</v>
      </c>
      <c r="B62" s="17">
        <v>8</v>
      </c>
      <c r="C62" s="17" t="s">
        <v>292</v>
      </c>
      <c r="D62" s="17" t="s">
        <v>293</v>
      </c>
      <c r="E62" s="17" t="s">
        <v>294</v>
      </c>
      <c r="F62" s="17" t="s">
        <v>295</v>
      </c>
      <c r="G62" s="17" t="s">
        <v>304</v>
      </c>
      <c r="H62" s="17" t="s">
        <v>302</v>
      </c>
      <c r="I62" s="17" t="s">
        <v>301</v>
      </c>
      <c r="J62" s="17">
        <v>8</v>
      </c>
      <c r="K62" s="17" t="s">
        <v>291</v>
      </c>
      <c r="L62" s="17">
        <v>3</v>
      </c>
      <c r="M62" s="17">
        <v>1.4702500000000001</v>
      </c>
      <c r="N62" s="17">
        <v>2.4349999999999872E-2</v>
      </c>
      <c r="O62" s="17">
        <f t="shared" si="11"/>
        <v>4.2175437164301936E-2</v>
      </c>
      <c r="P62" s="17">
        <v>3</v>
      </c>
      <c r="Q62" s="17">
        <v>1.4949600000000001</v>
      </c>
      <c r="R62" s="17">
        <v>3.8679999999999826E-2</v>
      </c>
      <c r="S62" s="17">
        <f t="shared" si="12"/>
        <v>6.6995725236763864E-2</v>
      </c>
      <c r="T62" s="17">
        <v>3</v>
      </c>
      <c r="U62" s="17">
        <v>0.01</v>
      </c>
      <c r="V62" s="17">
        <v>0.01</v>
      </c>
      <c r="W62" s="17">
        <f t="shared" si="10"/>
        <v>0.01</v>
      </c>
      <c r="X62" s="17" t="str">
        <f t="shared" si="3"/>
        <v>Low</v>
      </c>
      <c r="Y62" s="17" t="s">
        <v>297</v>
      </c>
      <c r="Z62" s="17">
        <f t="shared" si="4"/>
        <v>-1.6666996273934448E-2</v>
      </c>
      <c r="AA62" s="17">
        <f t="shared" si="5"/>
        <v>2.7429352451114469E-4</v>
      </c>
      <c r="AB62" s="17">
        <f t="shared" si="6"/>
        <v>6.6944327886490278E-4</v>
      </c>
      <c r="AC62" s="17">
        <f t="shared" si="7"/>
        <v>9.4373680337604747E-4</v>
      </c>
      <c r="AD62" s="17" t="s">
        <v>298</v>
      </c>
      <c r="AF62" s="17" t="s">
        <v>305</v>
      </c>
    </row>
    <row r="63" spans="1:32" s="17" customFormat="1" ht="15.75" x14ac:dyDescent="0.2">
      <c r="A63" s="17">
        <v>62</v>
      </c>
      <c r="B63" s="17">
        <v>8</v>
      </c>
      <c r="C63" s="17" t="s">
        <v>292</v>
      </c>
      <c r="D63" s="17" t="s">
        <v>293</v>
      </c>
      <c r="E63" s="17" t="s">
        <v>294</v>
      </c>
      <c r="F63" s="17" t="s">
        <v>295</v>
      </c>
      <c r="G63" s="17" t="s">
        <v>304</v>
      </c>
      <c r="H63" s="17" t="s">
        <v>302</v>
      </c>
      <c r="I63" s="17" t="s">
        <v>301</v>
      </c>
      <c r="J63" s="17">
        <v>8</v>
      </c>
      <c r="K63" s="17" t="s">
        <v>291</v>
      </c>
      <c r="L63" s="17">
        <v>3</v>
      </c>
      <c r="M63" s="17">
        <v>1.44503</v>
      </c>
      <c r="N63" s="17">
        <v>3.882999999999992E-2</v>
      </c>
      <c r="O63" s="17">
        <f t="shared" si="11"/>
        <v>6.7255532857899369E-2</v>
      </c>
      <c r="P63" s="17">
        <v>3</v>
      </c>
      <c r="Q63" s="17">
        <v>1.4949600000000001</v>
      </c>
      <c r="R63" s="17">
        <v>3.8679999999999826E-2</v>
      </c>
      <c r="S63" s="17">
        <f t="shared" si="12"/>
        <v>6.6995725236763864E-2</v>
      </c>
      <c r="T63" s="17">
        <v>3</v>
      </c>
      <c r="U63" s="17">
        <v>0.01</v>
      </c>
      <c r="V63" s="17">
        <v>0.01</v>
      </c>
      <c r="W63" s="17">
        <f t="shared" si="10"/>
        <v>0.01</v>
      </c>
      <c r="X63" s="17" t="str">
        <f t="shared" si="3"/>
        <v>Low</v>
      </c>
      <c r="Y63" s="17" t="s">
        <v>297</v>
      </c>
      <c r="Z63" s="17">
        <f t="shared" si="4"/>
        <v>-3.3969368037304201E-2</v>
      </c>
      <c r="AA63" s="17">
        <f t="shared" si="5"/>
        <v>7.2207291370003255E-4</v>
      </c>
      <c r="AB63" s="17">
        <f t="shared" si="6"/>
        <v>6.6944327886490278E-4</v>
      </c>
      <c r="AC63" s="17">
        <f t="shared" si="7"/>
        <v>1.3915161925649353E-3</v>
      </c>
      <c r="AD63" s="17" t="s">
        <v>299</v>
      </c>
      <c r="AF63" s="17" t="s">
        <v>305</v>
      </c>
    </row>
    <row r="64" spans="1:32" s="17" customFormat="1" ht="15.75" x14ac:dyDescent="0.2">
      <c r="A64" s="17">
        <v>63</v>
      </c>
      <c r="B64" s="17">
        <v>8</v>
      </c>
      <c r="C64" s="17" t="s">
        <v>292</v>
      </c>
      <c r="D64" s="17" t="s">
        <v>293</v>
      </c>
      <c r="E64" s="17" t="s">
        <v>294</v>
      </c>
      <c r="F64" s="17" t="s">
        <v>295</v>
      </c>
      <c r="G64" s="17" t="s">
        <v>304</v>
      </c>
      <c r="H64" s="17" t="s">
        <v>302</v>
      </c>
      <c r="I64" s="17" t="s">
        <v>301</v>
      </c>
      <c r="J64" s="17">
        <v>8</v>
      </c>
      <c r="K64" s="17" t="s">
        <v>291</v>
      </c>
      <c r="L64" s="17">
        <v>3</v>
      </c>
      <c r="M64" s="17">
        <v>1.4262300000000001</v>
      </c>
      <c r="N64" s="17">
        <v>6.0860000000000136E-2</v>
      </c>
      <c r="O64" s="17">
        <f t="shared" si="11"/>
        <v>0.1054126121486421</v>
      </c>
      <c r="P64" s="17">
        <v>3</v>
      </c>
      <c r="Q64" s="17">
        <v>1.4949600000000001</v>
      </c>
      <c r="R64" s="17">
        <v>3.8679999999999826E-2</v>
      </c>
      <c r="S64" s="17">
        <f t="shared" si="12"/>
        <v>6.6995725236763864E-2</v>
      </c>
      <c r="T64" s="17">
        <v>3</v>
      </c>
      <c r="U64" s="17">
        <v>0.04</v>
      </c>
      <c r="V64" s="17">
        <v>0.04</v>
      </c>
      <c r="W64" s="17">
        <f t="shared" si="10"/>
        <v>0.04</v>
      </c>
      <c r="X64" s="17" t="str">
        <f t="shared" si="3"/>
        <v>Low</v>
      </c>
      <c r="Y64" s="17" t="s">
        <v>297</v>
      </c>
      <c r="Z64" s="17">
        <f t="shared" si="4"/>
        <v>-4.7064851323063463E-2</v>
      </c>
      <c r="AA64" s="17">
        <f t="shared" si="5"/>
        <v>1.8208944043505918E-3</v>
      </c>
      <c r="AB64" s="17">
        <f t="shared" si="6"/>
        <v>6.6944327886490278E-4</v>
      </c>
      <c r="AC64" s="17">
        <f t="shared" si="7"/>
        <v>2.4903376832154946E-3</v>
      </c>
      <c r="AD64" s="17" t="s">
        <v>299</v>
      </c>
      <c r="AF64" s="17" t="s">
        <v>305</v>
      </c>
    </row>
    <row r="65" spans="1:32" s="18" customFormat="1" ht="15.75" x14ac:dyDescent="0.2">
      <c r="A65" s="18">
        <v>64</v>
      </c>
      <c r="B65" s="18">
        <v>9</v>
      </c>
      <c r="C65" s="18" t="s">
        <v>308</v>
      </c>
      <c r="D65" s="18" t="s">
        <v>309</v>
      </c>
      <c r="E65" s="18" t="s">
        <v>307</v>
      </c>
      <c r="F65" s="18" t="s">
        <v>295</v>
      </c>
      <c r="G65" s="18" t="s">
        <v>289</v>
      </c>
      <c r="H65" s="18" t="s">
        <v>300</v>
      </c>
      <c r="I65" s="18" t="s">
        <v>301</v>
      </c>
      <c r="J65" s="18">
        <v>9</v>
      </c>
      <c r="K65" s="18" t="s">
        <v>315</v>
      </c>
      <c r="L65" s="18">
        <v>16</v>
      </c>
      <c r="M65" s="18">
        <v>13.93858</v>
      </c>
      <c r="N65" s="18">
        <v>0.5399799999999999</v>
      </c>
      <c r="O65" s="18">
        <f t="shared" si="11"/>
        <v>2.1599199999999996</v>
      </c>
      <c r="P65" s="18">
        <v>16</v>
      </c>
      <c r="Q65" s="18">
        <v>14.370570000000001</v>
      </c>
      <c r="R65" s="18">
        <v>0.43198999999999899</v>
      </c>
      <c r="S65" s="18">
        <f t="shared" si="12"/>
        <v>1.7279599999999959</v>
      </c>
      <c r="T65" s="18">
        <v>16</v>
      </c>
      <c r="U65" s="18" t="s">
        <v>314</v>
      </c>
      <c r="V65" s="18" t="s">
        <v>708</v>
      </c>
      <c r="W65" s="18" t="str">
        <f>V65</f>
        <v>0.022 </v>
      </c>
      <c r="X65" s="18" t="str">
        <f t="shared" si="3"/>
        <v>High</v>
      </c>
      <c r="Y65" s="18" t="s">
        <v>310</v>
      </c>
      <c r="Z65" s="18">
        <f t="shared" si="4"/>
        <v>-3.0521830267558215E-2</v>
      </c>
      <c r="AA65" s="18">
        <f t="shared" si="5"/>
        <v>1.5007843248320057E-3</v>
      </c>
      <c r="AB65" s="18">
        <f t="shared" si="6"/>
        <v>9.0364822145983534E-4</v>
      </c>
      <c r="AC65" s="18">
        <f t="shared" si="7"/>
        <v>2.4044325462918409E-3</v>
      </c>
      <c r="AD65" s="18" t="s">
        <v>311</v>
      </c>
      <c r="AF65" s="18" t="s">
        <v>320</v>
      </c>
    </row>
    <row r="66" spans="1:32" s="18" customFormat="1" ht="15.75" x14ac:dyDescent="0.2">
      <c r="A66" s="18">
        <v>65</v>
      </c>
      <c r="B66" s="18">
        <v>9</v>
      </c>
      <c r="C66" s="18" t="s">
        <v>308</v>
      </c>
      <c r="D66" s="18" t="s">
        <v>309</v>
      </c>
      <c r="E66" s="18" t="s">
        <v>307</v>
      </c>
      <c r="F66" s="18" t="s">
        <v>295</v>
      </c>
      <c r="G66" s="18" t="s">
        <v>289</v>
      </c>
      <c r="H66" s="18" t="s">
        <v>319</v>
      </c>
      <c r="I66" s="18" t="s">
        <v>301</v>
      </c>
      <c r="J66" s="18">
        <v>9</v>
      </c>
      <c r="K66" s="18" t="s">
        <v>315</v>
      </c>
      <c r="L66" s="18">
        <v>16</v>
      </c>
      <c r="M66" s="18">
        <v>18.55932</v>
      </c>
      <c r="N66" s="18">
        <v>0.323990000000002</v>
      </c>
      <c r="O66" s="18">
        <f t="shared" si="11"/>
        <v>1.295960000000008</v>
      </c>
      <c r="P66" s="18">
        <v>16</v>
      </c>
      <c r="Q66" s="18">
        <v>18.127330000000001</v>
      </c>
      <c r="R66" s="18">
        <v>1.2882600000000011</v>
      </c>
      <c r="S66" s="18">
        <f t="shared" si="12"/>
        <v>5.1530400000000043</v>
      </c>
      <c r="T66" s="18">
        <v>16</v>
      </c>
      <c r="U66" s="18" t="s">
        <v>314</v>
      </c>
      <c r="V66" s="18" t="s">
        <v>708</v>
      </c>
      <c r="W66" s="18" t="str">
        <f t="shared" ref="W66:W82" si="13">V66</f>
        <v>0.022 </v>
      </c>
      <c r="X66" s="18" t="str">
        <f t="shared" si="3"/>
        <v>High</v>
      </c>
      <c r="Y66" s="18" t="s">
        <v>310</v>
      </c>
      <c r="Z66" s="18">
        <f t="shared" si="4"/>
        <v>2.3551344553023018E-2</v>
      </c>
      <c r="AA66" s="18">
        <f t="shared" si="5"/>
        <v>3.0474675636917308E-4</v>
      </c>
      <c r="AB66" s="18">
        <f t="shared" si="6"/>
        <v>5.0505579983481539E-3</v>
      </c>
      <c r="AC66" s="18">
        <f t="shared" si="7"/>
        <v>5.3553047547173268E-3</v>
      </c>
      <c r="AD66" s="18" t="s">
        <v>311</v>
      </c>
      <c r="AF66" s="18" t="s">
        <v>320</v>
      </c>
    </row>
    <row r="67" spans="1:32" s="18" customFormat="1" ht="15.75" x14ac:dyDescent="0.2">
      <c r="A67" s="18">
        <v>66</v>
      </c>
      <c r="B67" s="18">
        <v>9</v>
      </c>
      <c r="C67" s="18" t="s">
        <v>308</v>
      </c>
      <c r="D67" s="18" t="s">
        <v>309</v>
      </c>
      <c r="E67" s="18" t="s">
        <v>307</v>
      </c>
      <c r="F67" s="18" t="s">
        <v>295</v>
      </c>
      <c r="G67" s="18" t="s">
        <v>289</v>
      </c>
      <c r="H67" s="18" t="s">
        <v>290</v>
      </c>
      <c r="I67" s="18" t="s">
        <v>301</v>
      </c>
      <c r="J67" s="18">
        <v>9</v>
      </c>
      <c r="K67" s="18" t="s">
        <v>315</v>
      </c>
      <c r="L67" s="18">
        <v>16</v>
      </c>
      <c r="M67" s="18">
        <v>2.74295</v>
      </c>
      <c r="N67" s="18">
        <v>0.15606000000000009</v>
      </c>
      <c r="O67" s="18">
        <f t="shared" si="11"/>
        <v>0.62424000000000035</v>
      </c>
      <c r="P67" s="18">
        <v>16</v>
      </c>
      <c r="Q67" s="18">
        <v>2.7338300000000002</v>
      </c>
      <c r="R67" s="18">
        <v>0.31313999999999975</v>
      </c>
      <c r="S67" s="18">
        <f t="shared" si="12"/>
        <v>1.252559999999999</v>
      </c>
      <c r="T67" s="18">
        <v>16</v>
      </c>
      <c r="U67" s="18" t="s">
        <v>314</v>
      </c>
      <c r="V67" s="18" t="s">
        <v>708</v>
      </c>
      <c r="W67" s="18" t="str">
        <f t="shared" si="13"/>
        <v>0.022 </v>
      </c>
      <c r="X67" s="18" t="str">
        <f t="shared" ref="X67:X130" si="14">IF(W67&lt;=1, "Low", IF(W67&lt;10, "Medium", "High"))</f>
        <v>High</v>
      </c>
      <c r="Y67" s="18" t="s">
        <v>310</v>
      </c>
      <c r="Z67" s="18">
        <f t="shared" ref="Z67:Z130" si="15">LN(M67/Q67)</f>
        <v>3.330427159653814E-3</v>
      </c>
      <c r="AA67" s="18">
        <f t="shared" ref="AA67:AA130" si="16">(O67^2)/(L67*M67^2)</f>
        <v>3.237035206796854E-3</v>
      </c>
      <c r="AB67" s="18">
        <f t="shared" ref="AB67:AB130" si="17">(S67^2)/(P67*Q67^2)</f>
        <v>1.3120007536705872E-2</v>
      </c>
      <c r="AC67" s="18">
        <f t="shared" ref="AC67:AC130" si="18">SUM(AA67,AB67)</f>
        <v>1.6357042743502727E-2</v>
      </c>
      <c r="AD67" s="18" t="s">
        <v>311</v>
      </c>
      <c r="AF67" s="18" t="s">
        <v>321</v>
      </c>
    </row>
    <row r="68" spans="1:32" s="20" customFormat="1" ht="15.75" x14ac:dyDescent="0.2">
      <c r="A68" s="20">
        <v>67</v>
      </c>
      <c r="B68" s="20">
        <v>10</v>
      </c>
      <c r="C68" s="20" t="s">
        <v>331</v>
      </c>
      <c r="D68" s="20" t="s">
        <v>334</v>
      </c>
      <c r="E68" s="20" t="s">
        <v>80</v>
      </c>
      <c r="F68" s="20" t="s">
        <v>333</v>
      </c>
      <c r="G68" s="20" t="s">
        <v>337</v>
      </c>
      <c r="H68" s="20" t="s">
        <v>336</v>
      </c>
      <c r="I68" s="20" t="s">
        <v>335</v>
      </c>
      <c r="J68" s="20">
        <v>10</v>
      </c>
      <c r="K68" s="20" t="s">
        <v>182</v>
      </c>
      <c r="L68" s="20">
        <v>5</v>
      </c>
      <c r="M68" s="20">
        <v>10.41147</v>
      </c>
      <c r="N68" s="20">
        <v>0.15268999999999977</v>
      </c>
      <c r="O68" s="20">
        <f t="shared" si="11"/>
        <v>0.34142521948444238</v>
      </c>
      <c r="P68" s="20">
        <v>5</v>
      </c>
      <c r="Q68" s="20">
        <v>11.0655</v>
      </c>
      <c r="R68" s="20">
        <v>0.23471999999999937</v>
      </c>
      <c r="S68" s="20">
        <f t="shared" si="12"/>
        <v>0.5248498756787493</v>
      </c>
      <c r="T68" s="20">
        <v>5</v>
      </c>
      <c r="U68" s="20" t="s">
        <v>338</v>
      </c>
      <c r="V68" s="20">
        <v>1.25</v>
      </c>
      <c r="W68" s="20">
        <f t="shared" si="13"/>
        <v>1.25</v>
      </c>
      <c r="X68" s="20" t="str">
        <f t="shared" si="14"/>
        <v>Medium</v>
      </c>
      <c r="Y68" s="20" t="s">
        <v>343</v>
      </c>
      <c r="Z68" s="20">
        <f t="shared" si="15"/>
        <v>-6.092407697805885E-2</v>
      </c>
      <c r="AA68" s="20">
        <f t="shared" si="16"/>
        <v>2.150785431357809E-4</v>
      </c>
      <c r="AB68" s="20">
        <f t="shared" si="17"/>
        <v>4.499436302328478E-4</v>
      </c>
      <c r="AC68" s="20">
        <f t="shared" si="18"/>
        <v>6.6502217336862873E-4</v>
      </c>
      <c r="AD68" s="20" t="s">
        <v>332</v>
      </c>
      <c r="AF68" s="20" t="s">
        <v>346</v>
      </c>
    </row>
    <row r="69" spans="1:32" s="20" customFormat="1" ht="15.75" x14ac:dyDescent="0.2">
      <c r="A69" s="20">
        <v>68</v>
      </c>
      <c r="B69" s="20">
        <v>10</v>
      </c>
      <c r="C69" s="20" t="s">
        <v>331</v>
      </c>
      <c r="D69" s="20" t="s">
        <v>334</v>
      </c>
      <c r="E69" s="20" t="s">
        <v>80</v>
      </c>
      <c r="F69" s="20" t="s">
        <v>333</v>
      </c>
      <c r="G69" s="20" t="s">
        <v>337</v>
      </c>
      <c r="H69" s="20" t="s">
        <v>336</v>
      </c>
      <c r="I69" s="20" t="s">
        <v>335</v>
      </c>
      <c r="J69" s="20">
        <v>10</v>
      </c>
      <c r="K69" s="20" t="s">
        <v>182</v>
      </c>
      <c r="L69" s="20">
        <v>5</v>
      </c>
      <c r="M69" s="20">
        <v>10.584669999999999</v>
      </c>
      <c r="N69" s="20">
        <v>0.20509000000000022</v>
      </c>
      <c r="O69" s="20">
        <f t="shared" si="11"/>
        <v>0.45859518150543238</v>
      </c>
      <c r="P69" s="20">
        <v>5</v>
      </c>
      <c r="Q69" s="20">
        <v>11.0655</v>
      </c>
      <c r="R69" s="20">
        <v>0.23471999999999937</v>
      </c>
      <c r="S69" s="20">
        <f t="shared" si="12"/>
        <v>0.5248498756787493</v>
      </c>
      <c r="T69" s="20">
        <v>5</v>
      </c>
      <c r="U69" s="20" t="s">
        <v>338</v>
      </c>
      <c r="V69" s="20">
        <v>1.25</v>
      </c>
      <c r="W69" s="20">
        <f t="shared" si="13"/>
        <v>1.25</v>
      </c>
      <c r="X69" s="20" t="str">
        <f t="shared" si="14"/>
        <v>Medium</v>
      </c>
      <c r="Y69" s="20" t="s">
        <v>344</v>
      </c>
      <c r="Z69" s="20">
        <f t="shared" si="15"/>
        <v>-4.4425432102214321E-2</v>
      </c>
      <c r="AA69" s="20">
        <f t="shared" si="16"/>
        <v>3.7543462639160109E-4</v>
      </c>
      <c r="AB69" s="20">
        <f t="shared" si="17"/>
        <v>4.499436302328478E-4</v>
      </c>
      <c r="AC69" s="20">
        <f t="shared" si="18"/>
        <v>8.2537825662444889E-4</v>
      </c>
      <c r="AD69" s="20" t="s">
        <v>332</v>
      </c>
      <c r="AF69" s="20" t="s">
        <v>346</v>
      </c>
    </row>
    <row r="70" spans="1:32" s="20" customFormat="1" ht="15.75" x14ac:dyDescent="0.2">
      <c r="A70" s="20">
        <v>69</v>
      </c>
      <c r="B70" s="20">
        <v>10</v>
      </c>
      <c r="C70" s="20" t="s">
        <v>331</v>
      </c>
      <c r="D70" s="20" t="s">
        <v>334</v>
      </c>
      <c r="E70" s="20" t="s">
        <v>80</v>
      </c>
      <c r="F70" s="20" t="s">
        <v>333</v>
      </c>
      <c r="G70" s="20" t="s">
        <v>337</v>
      </c>
      <c r="H70" s="20" t="s">
        <v>336</v>
      </c>
      <c r="I70" s="20" t="s">
        <v>335</v>
      </c>
      <c r="J70" s="20">
        <v>10</v>
      </c>
      <c r="K70" s="20" t="s">
        <v>182</v>
      </c>
      <c r="L70" s="20">
        <v>5</v>
      </c>
      <c r="M70" s="20">
        <v>10.46161</v>
      </c>
      <c r="N70" s="20">
        <v>0.21420999999999957</v>
      </c>
      <c r="O70" s="20">
        <f t="shared" si="11"/>
        <v>0.47898812146022901</v>
      </c>
      <c r="P70" s="20">
        <v>5</v>
      </c>
      <c r="Q70" s="20">
        <v>11.0655</v>
      </c>
      <c r="R70" s="20">
        <v>0.23471999999999937</v>
      </c>
      <c r="S70" s="20">
        <f t="shared" si="12"/>
        <v>0.5248498756787493</v>
      </c>
      <c r="T70" s="20">
        <v>5</v>
      </c>
      <c r="U70" s="20" t="s">
        <v>338</v>
      </c>
      <c r="V70" s="20">
        <v>1.25</v>
      </c>
      <c r="W70" s="20">
        <f t="shared" si="13"/>
        <v>1.25</v>
      </c>
      <c r="X70" s="20" t="str">
        <f t="shared" si="14"/>
        <v>Medium</v>
      </c>
      <c r="Y70" s="20" t="s">
        <v>345</v>
      </c>
      <c r="Z70" s="20">
        <f t="shared" si="15"/>
        <v>-5.6119793523900834E-2</v>
      </c>
      <c r="AA70" s="20">
        <f t="shared" si="16"/>
        <v>4.1925903529259215E-4</v>
      </c>
      <c r="AB70" s="20">
        <f t="shared" si="17"/>
        <v>4.499436302328478E-4</v>
      </c>
      <c r="AC70" s="20">
        <f t="shared" si="18"/>
        <v>8.6920266552544001E-4</v>
      </c>
      <c r="AD70" s="20" t="s">
        <v>332</v>
      </c>
      <c r="AF70" s="20" t="s">
        <v>346</v>
      </c>
    </row>
    <row r="71" spans="1:32" s="20" customFormat="1" ht="15.75" x14ac:dyDescent="0.2">
      <c r="A71" s="20">
        <v>70</v>
      </c>
      <c r="B71" s="20">
        <v>10</v>
      </c>
      <c r="C71" s="20" t="s">
        <v>331</v>
      </c>
      <c r="D71" s="20" t="s">
        <v>334</v>
      </c>
      <c r="E71" s="20" t="s">
        <v>80</v>
      </c>
      <c r="F71" s="20" t="s">
        <v>333</v>
      </c>
      <c r="G71" s="20" t="s">
        <v>337</v>
      </c>
      <c r="H71" s="20" t="s">
        <v>336</v>
      </c>
      <c r="I71" s="20" t="s">
        <v>335</v>
      </c>
      <c r="J71" s="20">
        <v>10</v>
      </c>
      <c r="K71" s="20" t="s">
        <v>182</v>
      </c>
      <c r="L71" s="20">
        <v>5</v>
      </c>
      <c r="M71" s="20">
        <v>10.062810000000001</v>
      </c>
      <c r="N71" s="20">
        <v>0.1754699999999989</v>
      </c>
      <c r="O71" s="20">
        <f t="shared" si="11"/>
        <v>0.39236284801188565</v>
      </c>
      <c r="P71" s="20">
        <v>5</v>
      </c>
      <c r="Q71" s="20">
        <v>11.0655</v>
      </c>
      <c r="R71" s="20">
        <v>0.23471999999999937</v>
      </c>
      <c r="S71" s="20">
        <f t="shared" si="12"/>
        <v>0.5248498756787493</v>
      </c>
      <c r="T71" s="20">
        <v>5</v>
      </c>
      <c r="U71" s="20" t="s">
        <v>339</v>
      </c>
      <c r="V71" s="20">
        <v>2.5</v>
      </c>
      <c r="W71" s="20">
        <f t="shared" si="13"/>
        <v>2.5</v>
      </c>
      <c r="X71" s="20" t="str">
        <f t="shared" si="14"/>
        <v>Medium</v>
      </c>
      <c r="Y71" s="20" t="s">
        <v>343</v>
      </c>
      <c r="Z71" s="20">
        <f t="shared" si="15"/>
        <v>-9.4985710286771455E-2</v>
      </c>
      <c r="AA71" s="20">
        <f t="shared" si="16"/>
        <v>3.0406554198375791E-4</v>
      </c>
      <c r="AB71" s="20">
        <f t="shared" si="17"/>
        <v>4.499436302328478E-4</v>
      </c>
      <c r="AC71" s="20">
        <f t="shared" si="18"/>
        <v>7.5400917221660571E-4</v>
      </c>
      <c r="AD71" s="20" t="s">
        <v>332</v>
      </c>
      <c r="AF71" s="20" t="s">
        <v>346</v>
      </c>
    </row>
    <row r="72" spans="1:32" s="20" customFormat="1" ht="15.75" x14ac:dyDescent="0.2">
      <c r="A72" s="20">
        <v>71</v>
      </c>
      <c r="B72" s="20">
        <v>10</v>
      </c>
      <c r="C72" s="20" t="s">
        <v>331</v>
      </c>
      <c r="D72" s="20" t="s">
        <v>334</v>
      </c>
      <c r="E72" s="20" t="s">
        <v>80</v>
      </c>
      <c r="F72" s="20" t="s">
        <v>333</v>
      </c>
      <c r="G72" s="20" t="s">
        <v>337</v>
      </c>
      <c r="H72" s="20" t="s">
        <v>336</v>
      </c>
      <c r="I72" s="20" t="s">
        <v>335</v>
      </c>
      <c r="J72" s="20">
        <v>10</v>
      </c>
      <c r="K72" s="20" t="s">
        <v>182</v>
      </c>
      <c r="L72" s="20">
        <v>5</v>
      </c>
      <c r="M72" s="20">
        <v>10.72823</v>
      </c>
      <c r="N72" s="20">
        <v>0.25522999999999918</v>
      </c>
      <c r="O72" s="20">
        <f t="shared" si="11"/>
        <v>0.57071162989726953</v>
      </c>
      <c r="P72" s="20">
        <v>5</v>
      </c>
      <c r="Q72" s="20">
        <v>11.0655</v>
      </c>
      <c r="R72" s="20">
        <v>0.23471999999999937</v>
      </c>
      <c r="S72" s="20">
        <f t="shared" si="12"/>
        <v>0.5248498756787493</v>
      </c>
      <c r="T72" s="20">
        <v>5</v>
      </c>
      <c r="U72" s="20" t="s">
        <v>339</v>
      </c>
      <c r="V72" s="20">
        <v>2.5</v>
      </c>
      <c r="W72" s="20">
        <f t="shared" si="13"/>
        <v>2.5</v>
      </c>
      <c r="X72" s="20" t="str">
        <f t="shared" si="14"/>
        <v>Medium</v>
      </c>
      <c r="Y72" s="20" t="s">
        <v>344</v>
      </c>
      <c r="Z72" s="20">
        <f t="shared" si="15"/>
        <v>-3.095357503630973E-2</v>
      </c>
      <c r="AA72" s="20">
        <f t="shared" si="16"/>
        <v>5.6598808621584232E-4</v>
      </c>
      <c r="AB72" s="20">
        <f t="shared" si="17"/>
        <v>4.499436302328478E-4</v>
      </c>
      <c r="AC72" s="20">
        <f t="shared" si="18"/>
        <v>1.0159317164486902E-3</v>
      </c>
      <c r="AD72" s="20" t="s">
        <v>332</v>
      </c>
      <c r="AF72" s="20" t="s">
        <v>346</v>
      </c>
    </row>
    <row r="73" spans="1:32" s="20" customFormat="1" ht="15.75" x14ac:dyDescent="0.2">
      <c r="A73" s="20">
        <v>72</v>
      </c>
      <c r="B73" s="20">
        <v>10</v>
      </c>
      <c r="C73" s="20" t="s">
        <v>331</v>
      </c>
      <c r="D73" s="20" t="s">
        <v>334</v>
      </c>
      <c r="E73" s="20" t="s">
        <v>80</v>
      </c>
      <c r="F73" s="20" t="s">
        <v>333</v>
      </c>
      <c r="G73" s="20" t="s">
        <v>337</v>
      </c>
      <c r="H73" s="20" t="s">
        <v>336</v>
      </c>
      <c r="I73" s="20" t="s">
        <v>335</v>
      </c>
      <c r="J73" s="20">
        <v>10</v>
      </c>
      <c r="K73" s="20" t="s">
        <v>182</v>
      </c>
      <c r="L73" s="20">
        <v>5</v>
      </c>
      <c r="M73" s="20">
        <v>10.34994</v>
      </c>
      <c r="N73" s="20">
        <v>0.25524000000000058</v>
      </c>
      <c r="O73" s="20">
        <f t="shared" si="11"/>
        <v>0.57073399057704766</v>
      </c>
      <c r="P73" s="20">
        <v>5</v>
      </c>
      <c r="Q73" s="20">
        <v>11.0655</v>
      </c>
      <c r="R73" s="20">
        <v>0.23471999999999937</v>
      </c>
      <c r="S73" s="20">
        <f t="shared" si="12"/>
        <v>0.5248498756787493</v>
      </c>
      <c r="T73" s="20">
        <v>5</v>
      </c>
      <c r="U73" s="20" t="s">
        <v>339</v>
      </c>
      <c r="V73" s="20">
        <v>2.5</v>
      </c>
      <c r="W73" s="20">
        <f t="shared" si="13"/>
        <v>2.5</v>
      </c>
      <c r="X73" s="20" t="str">
        <f t="shared" si="14"/>
        <v>Medium</v>
      </c>
      <c r="Y73" s="20" t="s">
        <v>345</v>
      </c>
      <c r="Z73" s="20">
        <f t="shared" si="15"/>
        <v>-6.6851437417204049E-2</v>
      </c>
      <c r="AA73" s="20">
        <f t="shared" si="16"/>
        <v>6.0816553888688371E-4</v>
      </c>
      <c r="AB73" s="20">
        <f t="shared" si="17"/>
        <v>4.499436302328478E-4</v>
      </c>
      <c r="AC73" s="20">
        <f t="shared" si="18"/>
        <v>1.0581091691197315E-3</v>
      </c>
      <c r="AD73" s="20" t="s">
        <v>332</v>
      </c>
      <c r="AF73" s="20" t="s">
        <v>346</v>
      </c>
    </row>
    <row r="74" spans="1:32" s="20" customFormat="1" ht="15.75" x14ac:dyDescent="0.2">
      <c r="A74" s="20">
        <v>73</v>
      </c>
      <c r="B74" s="20">
        <v>10</v>
      </c>
      <c r="C74" s="20" t="s">
        <v>331</v>
      </c>
      <c r="D74" s="20" t="s">
        <v>334</v>
      </c>
      <c r="E74" s="20" t="s">
        <v>80</v>
      </c>
      <c r="F74" s="20" t="s">
        <v>333</v>
      </c>
      <c r="G74" s="20" t="s">
        <v>337</v>
      </c>
      <c r="H74" s="20" t="s">
        <v>336</v>
      </c>
      <c r="I74" s="20" t="s">
        <v>335</v>
      </c>
      <c r="J74" s="20">
        <v>10</v>
      </c>
      <c r="K74" s="20" t="s">
        <v>182</v>
      </c>
      <c r="L74" s="20">
        <v>5</v>
      </c>
      <c r="M74" s="20">
        <v>9.5318400000000008</v>
      </c>
      <c r="N74" s="20">
        <v>0.36916999999999867</v>
      </c>
      <c r="O74" s="20">
        <f t="shared" si="11"/>
        <v>0.82548921525359442</v>
      </c>
      <c r="P74" s="20">
        <v>5</v>
      </c>
      <c r="Q74" s="20">
        <v>11.0655</v>
      </c>
      <c r="R74" s="20">
        <v>0.23471999999999937</v>
      </c>
      <c r="S74" s="20">
        <f t="shared" si="12"/>
        <v>0.5248498756787493</v>
      </c>
      <c r="T74" s="20">
        <v>5</v>
      </c>
      <c r="U74" s="20" t="s">
        <v>340</v>
      </c>
      <c r="V74" s="20">
        <v>5</v>
      </c>
      <c r="W74" s="20">
        <f t="shared" si="13"/>
        <v>5</v>
      </c>
      <c r="X74" s="20" t="str">
        <f t="shared" si="14"/>
        <v>Medium</v>
      </c>
      <c r="Y74" s="20" t="s">
        <v>343</v>
      </c>
      <c r="Z74" s="20">
        <f t="shared" si="15"/>
        <v>-0.14919438647912764</v>
      </c>
      <c r="AA74" s="20">
        <f t="shared" si="16"/>
        <v>1.500027826696404E-3</v>
      </c>
      <c r="AB74" s="20">
        <f t="shared" si="17"/>
        <v>4.499436302328478E-4</v>
      </c>
      <c r="AC74" s="20">
        <f t="shared" si="18"/>
        <v>1.9499714569292518E-3</v>
      </c>
      <c r="AD74" s="20" t="s">
        <v>332</v>
      </c>
      <c r="AF74" s="20" t="s">
        <v>346</v>
      </c>
    </row>
    <row r="75" spans="1:32" s="20" customFormat="1" ht="15.75" x14ac:dyDescent="0.2">
      <c r="A75" s="20">
        <v>74</v>
      </c>
      <c r="B75" s="20">
        <v>10</v>
      </c>
      <c r="C75" s="20" t="s">
        <v>331</v>
      </c>
      <c r="D75" s="20" t="s">
        <v>334</v>
      </c>
      <c r="E75" s="20" t="s">
        <v>80</v>
      </c>
      <c r="F75" s="20" t="s">
        <v>333</v>
      </c>
      <c r="G75" s="20" t="s">
        <v>337</v>
      </c>
      <c r="H75" s="20" t="s">
        <v>336</v>
      </c>
      <c r="I75" s="20" t="s">
        <v>335</v>
      </c>
      <c r="J75" s="20">
        <v>10</v>
      </c>
      <c r="K75" s="20" t="s">
        <v>182</v>
      </c>
      <c r="L75" s="20">
        <v>5</v>
      </c>
      <c r="M75" s="20">
        <v>9.9830500000000004</v>
      </c>
      <c r="N75" s="20">
        <v>0.51046000000000014</v>
      </c>
      <c r="O75" s="20">
        <f t="shared" si="11"/>
        <v>1.1414232597945431</v>
      </c>
      <c r="P75" s="20">
        <v>5</v>
      </c>
      <c r="Q75" s="20">
        <v>11.0655</v>
      </c>
      <c r="R75" s="20">
        <v>0.23471999999999937</v>
      </c>
      <c r="S75" s="20">
        <f t="shared" si="12"/>
        <v>0.5248498756787493</v>
      </c>
      <c r="T75" s="20">
        <v>5</v>
      </c>
      <c r="U75" s="20" t="s">
        <v>340</v>
      </c>
      <c r="V75" s="20">
        <v>5</v>
      </c>
      <c r="W75" s="20">
        <f t="shared" si="13"/>
        <v>5</v>
      </c>
      <c r="X75" s="20" t="str">
        <f t="shared" si="14"/>
        <v>Medium</v>
      </c>
      <c r="Y75" s="20" t="s">
        <v>344</v>
      </c>
      <c r="Z75" s="20">
        <f t="shared" si="15"/>
        <v>-0.1029435051541094</v>
      </c>
      <c r="AA75" s="20">
        <f t="shared" si="16"/>
        <v>2.6145499285906153E-3</v>
      </c>
      <c r="AB75" s="20">
        <f t="shared" si="17"/>
        <v>4.499436302328478E-4</v>
      </c>
      <c r="AC75" s="20">
        <f t="shared" si="18"/>
        <v>3.0644935588234629E-3</v>
      </c>
      <c r="AD75" s="20" t="s">
        <v>332</v>
      </c>
      <c r="AF75" s="20" t="s">
        <v>346</v>
      </c>
    </row>
    <row r="76" spans="1:32" s="20" customFormat="1" ht="15.75" x14ac:dyDescent="0.2">
      <c r="A76" s="20">
        <v>75</v>
      </c>
      <c r="B76" s="20">
        <v>10</v>
      </c>
      <c r="C76" s="20" t="s">
        <v>331</v>
      </c>
      <c r="D76" s="20" t="s">
        <v>334</v>
      </c>
      <c r="E76" s="20" t="s">
        <v>80</v>
      </c>
      <c r="F76" s="20" t="s">
        <v>333</v>
      </c>
      <c r="G76" s="20" t="s">
        <v>337</v>
      </c>
      <c r="H76" s="20" t="s">
        <v>336</v>
      </c>
      <c r="I76" s="20" t="s">
        <v>335</v>
      </c>
      <c r="J76" s="20">
        <v>10</v>
      </c>
      <c r="K76" s="20" t="s">
        <v>182</v>
      </c>
      <c r="L76" s="20">
        <v>5</v>
      </c>
      <c r="M76" s="20">
        <v>10.299810000000001</v>
      </c>
      <c r="N76" s="20">
        <v>0.3167599999999986</v>
      </c>
      <c r="O76" s="20">
        <f t="shared" si="11"/>
        <v>0.70829689255283024</v>
      </c>
      <c r="P76" s="20">
        <v>5</v>
      </c>
      <c r="Q76" s="20">
        <v>11.0655</v>
      </c>
      <c r="R76" s="20">
        <v>0.23471999999999937</v>
      </c>
      <c r="S76" s="20">
        <f t="shared" si="12"/>
        <v>0.5248498756787493</v>
      </c>
      <c r="T76" s="20">
        <v>5</v>
      </c>
      <c r="U76" s="20" t="s">
        <v>340</v>
      </c>
      <c r="V76" s="20">
        <v>5</v>
      </c>
      <c r="W76" s="20">
        <f t="shared" si="13"/>
        <v>5</v>
      </c>
      <c r="X76" s="20" t="str">
        <f t="shared" si="14"/>
        <v>Medium</v>
      </c>
      <c r="Y76" s="20" t="s">
        <v>345</v>
      </c>
      <c r="Z76" s="20">
        <f t="shared" si="15"/>
        <v>-7.1706711546821816E-2</v>
      </c>
      <c r="AA76" s="20">
        <f t="shared" si="16"/>
        <v>9.4580638563529897E-4</v>
      </c>
      <c r="AB76" s="20">
        <f t="shared" si="17"/>
        <v>4.499436302328478E-4</v>
      </c>
      <c r="AC76" s="20">
        <f t="shared" si="18"/>
        <v>1.3957500158681467E-3</v>
      </c>
      <c r="AD76" s="20" t="s">
        <v>332</v>
      </c>
      <c r="AF76" s="20" t="s">
        <v>346</v>
      </c>
    </row>
    <row r="77" spans="1:32" s="20" customFormat="1" ht="15.75" x14ac:dyDescent="0.2">
      <c r="A77" s="20">
        <v>76</v>
      </c>
      <c r="B77" s="20">
        <v>10</v>
      </c>
      <c r="C77" s="20" t="s">
        <v>331</v>
      </c>
      <c r="D77" s="20" t="s">
        <v>334</v>
      </c>
      <c r="E77" s="20" t="s">
        <v>80</v>
      </c>
      <c r="F77" s="20" t="s">
        <v>333</v>
      </c>
      <c r="G77" s="20" t="s">
        <v>337</v>
      </c>
      <c r="H77" s="20" t="s">
        <v>336</v>
      </c>
      <c r="I77" s="20" t="s">
        <v>335</v>
      </c>
      <c r="J77" s="20">
        <v>10</v>
      </c>
      <c r="K77" s="20" t="s">
        <v>182</v>
      </c>
      <c r="L77" s="20">
        <v>5</v>
      </c>
      <c r="M77" s="20">
        <v>8.5929500000000001</v>
      </c>
      <c r="N77" s="20">
        <v>0.42843000000000053</v>
      </c>
      <c r="O77" s="20">
        <f t="shared" si="11"/>
        <v>0.95799860360023614</v>
      </c>
      <c r="P77" s="20">
        <v>5</v>
      </c>
      <c r="Q77" s="20">
        <v>11.0655</v>
      </c>
      <c r="R77" s="20">
        <v>0.23471999999999937</v>
      </c>
      <c r="S77" s="20">
        <f t="shared" si="12"/>
        <v>0.5248498756787493</v>
      </c>
      <c r="T77" s="20">
        <v>5</v>
      </c>
      <c r="U77" s="20" t="s">
        <v>341</v>
      </c>
      <c r="V77" s="20">
        <v>10</v>
      </c>
      <c r="W77" s="20">
        <f t="shared" si="13"/>
        <v>10</v>
      </c>
      <c r="X77" s="20" t="str">
        <f t="shared" si="14"/>
        <v>High</v>
      </c>
      <c r="Y77" s="20" t="s">
        <v>343</v>
      </c>
      <c r="Z77" s="20">
        <f t="shared" si="15"/>
        <v>-0.25289006038580336</v>
      </c>
      <c r="AA77" s="20">
        <f t="shared" si="16"/>
        <v>2.4858514832047122E-3</v>
      </c>
      <c r="AB77" s="20">
        <f t="shared" si="17"/>
        <v>4.499436302328478E-4</v>
      </c>
      <c r="AC77" s="20">
        <f t="shared" si="18"/>
        <v>2.9357951134375599E-3</v>
      </c>
      <c r="AD77" s="20" t="s">
        <v>332</v>
      </c>
      <c r="AF77" s="20" t="s">
        <v>346</v>
      </c>
    </row>
    <row r="78" spans="1:32" s="20" customFormat="1" ht="15.75" x14ac:dyDescent="0.2">
      <c r="A78" s="20">
        <v>77</v>
      </c>
      <c r="B78" s="20">
        <v>10</v>
      </c>
      <c r="C78" s="20" t="s">
        <v>331</v>
      </c>
      <c r="D78" s="20" t="s">
        <v>334</v>
      </c>
      <c r="E78" s="20" t="s">
        <v>80</v>
      </c>
      <c r="F78" s="20" t="s">
        <v>333</v>
      </c>
      <c r="G78" s="20" t="s">
        <v>337</v>
      </c>
      <c r="H78" s="20" t="s">
        <v>336</v>
      </c>
      <c r="I78" s="20" t="s">
        <v>335</v>
      </c>
      <c r="J78" s="20">
        <v>10</v>
      </c>
      <c r="K78" s="20" t="s">
        <v>182</v>
      </c>
      <c r="L78" s="20">
        <v>5</v>
      </c>
      <c r="M78" s="20">
        <v>10.074199999999999</v>
      </c>
      <c r="N78" s="20">
        <v>0.14357000000000042</v>
      </c>
      <c r="O78" s="20">
        <f t="shared" si="11"/>
        <v>0.32103227952964575</v>
      </c>
      <c r="P78" s="20">
        <v>5</v>
      </c>
      <c r="Q78" s="20">
        <v>11.0655</v>
      </c>
      <c r="R78" s="20">
        <v>0.23471999999999937</v>
      </c>
      <c r="S78" s="20">
        <f t="shared" si="12"/>
        <v>0.5248498756787493</v>
      </c>
      <c r="T78" s="20">
        <v>5</v>
      </c>
      <c r="U78" s="20" t="s">
        <v>341</v>
      </c>
      <c r="V78" s="20">
        <v>10</v>
      </c>
      <c r="W78" s="20">
        <f t="shared" si="13"/>
        <v>10</v>
      </c>
      <c r="X78" s="20" t="str">
        <f t="shared" si="14"/>
        <v>High</v>
      </c>
      <c r="Y78" s="20" t="s">
        <v>344</v>
      </c>
      <c r="Z78" s="20">
        <f t="shared" si="15"/>
        <v>-9.3854459796785805E-2</v>
      </c>
      <c r="AA78" s="20">
        <f t="shared" si="16"/>
        <v>2.030982885374918E-4</v>
      </c>
      <c r="AB78" s="20">
        <f t="shared" si="17"/>
        <v>4.499436302328478E-4</v>
      </c>
      <c r="AC78" s="20">
        <f t="shared" si="18"/>
        <v>6.5304191877033958E-4</v>
      </c>
      <c r="AD78" s="20" t="s">
        <v>332</v>
      </c>
      <c r="AF78" s="20" t="s">
        <v>346</v>
      </c>
    </row>
    <row r="79" spans="1:32" s="20" customFormat="1" ht="15.75" x14ac:dyDescent="0.2">
      <c r="A79" s="20">
        <v>78</v>
      </c>
      <c r="B79" s="20">
        <v>10</v>
      </c>
      <c r="C79" s="20" t="s">
        <v>331</v>
      </c>
      <c r="D79" s="20" t="s">
        <v>334</v>
      </c>
      <c r="E79" s="20" t="s">
        <v>80</v>
      </c>
      <c r="F79" s="20" t="s">
        <v>333</v>
      </c>
      <c r="G79" s="20" t="s">
        <v>337</v>
      </c>
      <c r="H79" s="20" t="s">
        <v>336</v>
      </c>
      <c r="I79" s="20" t="s">
        <v>335</v>
      </c>
      <c r="J79" s="20">
        <v>10</v>
      </c>
      <c r="K79" s="20" t="s">
        <v>182</v>
      </c>
      <c r="L79" s="20">
        <v>5</v>
      </c>
      <c r="M79" s="20">
        <v>9.7278199999999995</v>
      </c>
      <c r="N79" s="20">
        <v>0.20282000000000089</v>
      </c>
      <c r="O79" s="20">
        <f t="shared" si="11"/>
        <v>0.45351930719650935</v>
      </c>
      <c r="P79" s="20">
        <v>5</v>
      </c>
      <c r="Q79" s="20">
        <v>11.0655</v>
      </c>
      <c r="R79" s="20">
        <v>0.23471999999999937</v>
      </c>
      <c r="S79" s="20">
        <f t="shared" si="12"/>
        <v>0.5248498756787493</v>
      </c>
      <c r="T79" s="20">
        <v>5</v>
      </c>
      <c r="U79" s="20" t="s">
        <v>341</v>
      </c>
      <c r="V79" s="20">
        <v>10</v>
      </c>
      <c r="W79" s="20">
        <f t="shared" si="13"/>
        <v>10</v>
      </c>
      <c r="X79" s="20" t="str">
        <f t="shared" si="14"/>
        <v>High</v>
      </c>
      <c r="Y79" s="20" t="s">
        <v>345</v>
      </c>
      <c r="Z79" s="20">
        <f t="shared" si="15"/>
        <v>-0.12884233824718008</v>
      </c>
      <c r="AA79" s="20">
        <f t="shared" si="16"/>
        <v>4.3470086542190633E-4</v>
      </c>
      <c r="AB79" s="20">
        <f t="shared" si="17"/>
        <v>4.499436302328478E-4</v>
      </c>
      <c r="AC79" s="20">
        <f t="shared" si="18"/>
        <v>8.8464449565475419E-4</v>
      </c>
      <c r="AD79" s="20" t="s">
        <v>332</v>
      </c>
      <c r="AF79" s="20" t="s">
        <v>346</v>
      </c>
    </row>
    <row r="80" spans="1:32" s="20" customFormat="1" ht="15.75" x14ac:dyDescent="0.2">
      <c r="A80" s="20">
        <v>79</v>
      </c>
      <c r="B80" s="20">
        <v>10</v>
      </c>
      <c r="C80" s="20" t="s">
        <v>331</v>
      </c>
      <c r="D80" s="20" t="s">
        <v>334</v>
      </c>
      <c r="E80" s="20" t="s">
        <v>80</v>
      </c>
      <c r="F80" s="20" t="s">
        <v>333</v>
      </c>
      <c r="G80" s="20" t="s">
        <v>337</v>
      </c>
      <c r="H80" s="20" t="s">
        <v>336</v>
      </c>
      <c r="I80" s="20" t="s">
        <v>335</v>
      </c>
      <c r="J80" s="20">
        <v>10</v>
      </c>
      <c r="K80" s="20" t="s">
        <v>182</v>
      </c>
      <c r="L80" s="20">
        <v>5</v>
      </c>
      <c r="M80" s="20">
        <v>6.6924000000000001</v>
      </c>
      <c r="N80" s="20">
        <v>0.41929999999999978</v>
      </c>
      <c r="O80" s="20">
        <f t="shared" si="11"/>
        <v>0.93758330296566139</v>
      </c>
      <c r="P80" s="20">
        <v>5</v>
      </c>
      <c r="Q80" s="20">
        <v>11.0655</v>
      </c>
      <c r="R80" s="20">
        <v>0.23471999999999937</v>
      </c>
      <c r="S80" s="20">
        <f t="shared" si="12"/>
        <v>0.5248498756787493</v>
      </c>
      <c r="T80" s="20">
        <v>5</v>
      </c>
      <c r="U80" s="20" t="s">
        <v>342</v>
      </c>
      <c r="V80" s="20">
        <v>20</v>
      </c>
      <c r="W80" s="20">
        <f t="shared" si="13"/>
        <v>20</v>
      </c>
      <c r="X80" s="20" t="str">
        <f t="shared" si="14"/>
        <v>High</v>
      </c>
      <c r="Y80" s="20" t="s">
        <v>343</v>
      </c>
      <c r="Z80" s="20">
        <f t="shared" si="15"/>
        <v>-0.50285960580895828</v>
      </c>
      <c r="AA80" s="20">
        <f t="shared" si="16"/>
        <v>3.9254183084957792E-3</v>
      </c>
      <c r="AB80" s="20">
        <f t="shared" si="17"/>
        <v>4.499436302328478E-4</v>
      </c>
      <c r="AC80" s="20">
        <f t="shared" si="18"/>
        <v>4.3753619387286273E-3</v>
      </c>
      <c r="AD80" s="20" t="s">
        <v>332</v>
      </c>
      <c r="AF80" s="20" t="s">
        <v>346</v>
      </c>
    </row>
    <row r="81" spans="1:33" s="20" customFormat="1" ht="15.75" x14ac:dyDescent="0.2">
      <c r="A81" s="20">
        <v>80</v>
      </c>
      <c r="B81" s="20">
        <v>10</v>
      </c>
      <c r="C81" s="20" t="s">
        <v>331</v>
      </c>
      <c r="D81" s="20" t="s">
        <v>334</v>
      </c>
      <c r="E81" s="20" t="s">
        <v>80</v>
      </c>
      <c r="F81" s="20" t="s">
        <v>333</v>
      </c>
      <c r="G81" s="20" t="s">
        <v>337</v>
      </c>
      <c r="H81" s="20" t="s">
        <v>336</v>
      </c>
      <c r="I81" s="20" t="s">
        <v>335</v>
      </c>
      <c r="J81" s="20">
        <v>10</v>
      </c>
      <c r="K81" s="20" t="s">
        <v>182</v>
      </c>
      <c r="L81" s="20">
        <v>5</v>
      </c>
      <c r="M81" s="20">
        <v>8.9188299999999998</v>
      </c>
      <c r="N81" s="20">
        <v>0.30764000000000102</v>
      </c>
      <c r="O81" s="20">
        <f t="shared" si="11"/>
        <v>0.6879039525980376</v>
      </c>
      <c r="P81" s="20">
        <v>5</v>
      </c>
      <c r="Q81" s="20">
        <v>11.0655</v>
      </c>
      <c r="R81" s="20">
        <v>0.23471999999999937</v>
      </c>
      <c r="S81" s="20">
        <f t="shared" si="12"/>
        <v>0.5248498756787493</v>
      </c>
      <c r="T81" s="20">
        <v>5</v>
      </c>
      <c r="U81" s="20" t="s">
        <v>342</v>
      </c>
      <c r="V81" s="20">
        <v>20</v>
      </c>
      <c r="W81" s="20">
        <f t="shared" si="13"/>
        <v>20</v>
      </c>
      <c r="X81" s="20" t="str">
        <f t="shared" si="14"/>
        <v>High</v>
      </c>
      <c r="Y81" s="20" t="s">
        <v>344</v>
      </c>
      <c r="Z81" s="20">
        <f t="shared" si="15"/>
        <v>-0.21566738794069565</v>
      </c>
      <c r="AA81" s="20">
        <f t="shared" si="16"/>
        <v>1.1897886820630551E-3</v>
      </c>
      <c r="AB81" s="20">
        <f t="shared" si="17"/>
        <v>4.499436302328478E-4</v>
      </c>
      <c r="AC81" s="20">
        <f t="shared" si="18"/>
        <v>1.639732312295903E-3</v>
      </c>
      <c r="AD81" s="20" t="s">
        <v>332</v>
      </c>
      <c r="AF81" s="20" t="s">
        <v>346</v>
      </c>
    </row>
    <row r="82" spans="1:33" s="20" customFormat="1" ht="15.75" x14ac:dyDescent="0.2">
      <c r="A82" s="20">
        <v>81</v>
      </c>
      <c r="B82" s="20">
        <v>10</v>
      </c>
      <c r="C82" s="20" t="s">
        <v>331</v>
      </c>
      <c r="D82" s="20" t="s">
        <v>334</v>
      </c>
      <c r="E82" s="20" t="s">
        <v>80</v>
      </c>
      <c r="F82" s="20" t="s">
        <v>333</v>
      </c>
      <c r="G82" s="20" t="s">
        <v>337</v>
      </c>
      <c r="H82" s="20" t="s">
        <v>336</v>
      </c>
      <c r="I82" s="20" t="s">
        <v>335</v>
      </c>
      <c r="J82" s="20">
        <v>10</v>
      </c>
      <c r="K82" s="20" t="s">
        <v>182</v>
      </c>
      <c r="L82" s="20">
        <v>5</v>
      </c>
      <c r="M82" s="20">
        <v>8.7775400000000001</v>
      </c>
      <c r="N82" s="20">
        <v>0.51957999999999949</v>
      </c>
      <c r="O82" s="20">
        <f t="shared" si="11"/>
        <v>1.1618161997493397</v>
      </c>
      <c r="P82" s="20">
        <v>5</v>
      </c>
      <c r="Q82" s="20">
        <v>11.0655</v>
      </c>
      <c r="R82" s="20">
        <v>0.23471999999999937</v>
      </c>
      <c r="S82" s="20">
        <f t="shared" si="12"/>
        <v>0.5248498756787493</v>
      </c>
      <c r="T82" s="20">
        <v>5</v>
      </c>
      <c r="U82" s="20" t="s">
        <v>342</v>
      </c>
      <c r="V82" s="20">
        <v>20</v>
      </c>
      <c r="W82" s="20">
        <f t="shared" si="13"/>
        <v>20</v>
      </c>
      <c r="X82" s="20" t="str">
        <f t="shared" si="14"/>
        <v>High</v>
      </c>
      <c r="Y82" s="20" t="s">
        <v>345</v>
      </c>
      <c r="Z82" s="20">
        <f t="shared" si="15"/>
        <v>-0.23163597385402543</v>
      </c>
      <c r="AA82" s="20">
        <f t="shared" si="16"/>
        <v>3.5039606203361912E-3</v>
      </c>
      <c r="AB82" s="20">
        <f t="shared" si="17"/>
        <v>4.499436302328478E-4</v>
      </c>
      <c r="AC82" s="20">
        <f t="shared" si="18"/>
        <v>3.9539042505690389E-3</v>
      </c>
      <c r="AD82" s="20" t="s">
        <v>332</v>
      </c>
      <c r="AF82" s="20" t="s">
        <v>346</v>
      </c>
    </row>
    <row r="83" spans="1:33" s="23" customFormat="1" ht="15.75" customHeight="1" x14ac:dyDescent="0.2">
      <c r="A83" s="23">
        <v>82</v>
      </c>
      <c r="B83" s="23">
        <v>11</v>
      </c>
      <c r="C83" s="23" t="s">
        <v>377</v>
      </c>
      <c r="D83" s="23" t="s">
        <v>378</v>
      </c>
      <c r="E83" s="23" t="s">
        <v>379</v>
      </c>
      <c r="F83" s="23" t="s">
        <v>333</v>
      </c>
      <c r="G83" s="23" t="s">
        <v>337</v>
      </c>
      <c r="H83" s="23" t="s">
        <v>360</v>
      </c>
      <c r="I83" s="23" t="s">
        <v>335</v>
      </c>
      <c r="J83" s="23">
        <v>11</v>
      </c>
      <c r="K83" s="23" t="s">
        <v>383</v>
      </c>
      <c r="L83" s="23">
        <v>24</v>
      </c>
      <c r="M83" s="23">
        <v>23.967890000000001</v>
      </c>
      <c r="N83" s="23">
        <v>0.51192999999999955</v>
      </c>
      <c r="O83" s="23">
        <f t="shared" si="11"/>
        <v>2.5079345680459824</v>
      </c>
      <c r="P83" s="23">
        <v>24</v>
      </c>
      <c r="Q83" s="23">
        <v>26.599229999999999</v>
      </c>
      <c r="R83" s="23">
        <v>1.4436500000000017</v>
      </c>
      <c r="S83" s="23">
        <f t="shared" si="12"/>
        <v>7.0724117343378774</v>
      </c>
      <c r="T83" s="23">
        <v>24</v>
      </c>
      <c r="U83" s="23" t="s">
        <v>380</v>
      </c>
      <c r="V83" s="23">
        <v>1</v>
      </c>
      <c r="W83" s="23">
        <f t="shared" ref="W83:W88" si="19">V83 * 10^-3</f>
        <v>1E-3</v>
      </c>
      <c r="X83" s="23" t="str">
        <f t="shared" si="14"/>
        <v>Low</v>
      </c>
      <c r="Y83" s="23" t="s">
        <v>384</v>
      </c>
      <c r="Z83" s="23">
        <f t="shared" si="15"/>
        <v>-0.10416725012857514</v>
      </c>
      <c r="AA83" s="23">
        <f t="shared" si="16"/>
        <v>4.5620659135827102E-4</v>
      </c>
      <c r="AB83" s="23">
        <f t="shared" si="17"/>
        <v>2.9456809141648458E-3</v>
      </c>
      <c r="AC83" s="23">
        <f t="shared" si="18"/>
        <v>3.401887505523117E-3</v>
      </c>
      <c r="AD83" s="23" t="s">
        <v>114</v>
      </c>
      <c r="AF83" s="23" t="s">
        <v>170</v>
      </c>
      <c r="AG83" s="23" t="s">
        <v>386</v>
      </c>
    </row>
    <row r="84" spans="1:33" s="23" customFormat="1" ht="15.75" x14ac:dyDescent="0.2">
      <c r="A84" s="23">
        <v>83</v>
      </c>
      <c r="B84" s="23">
        <v>11</v>
      </c>
      <c r="C84" s="23" t="s">
        <v>377</v>
      </c>
      <c r="D84" s="23" t="s">
        <v>378</v>
      </c>
      <c r="E84" s="23" t="s">
        <v>379</v>
      </c>
      <c r="F84" s="23" t="s">
        <v>333</v>
      </c>
      <c r="G84" s="23" t="s">
        <v>337</v>
      </c>
      <c r="H84" s="23" t="s">
        <v>360</v>
      </c>
      <c r="I84" s="23" t="s">
        <v>335</v>
      </c>
      <c r="J84" s="23">
        <v>11</v>
      </c>
      <c r="K84" s="23" t="s">
        <v>383</v>
      </c>
      <c r="L84" s="23">
        <v>24</v>
      </c>
      <c r="M84" s="23">
        <v>24.054919999999999</v>
      </c>
      <c r="N84" s="23">
        <v>1.0187400000000011</v>
      </c>
      <c r="O84" s="23">
        <f t="shared" si="11"/>
        <v>4.9907863611258749</v>
      </c>
      <c r="P84" s="23">
        <v>24</v>
      </c>
      <c r="Q84" s="23">
        <v>26.599229999999999</v>
      </c>
      <c r="R84" s="23">
        <v>1.4436500000000017</v>
      </c>
      <c r="S84" s="23">
        <f t="shared" si="12"/>
        <v>7.0724117343378774</v>
      </c>
      <c r="T84" s="23">
        <v>24</v>
      </c>
      <c r="U84" s="23" t="s">
        <v>381</v>
      </c>
      <c r="V84" s="23">
        <v>10</v>
      </c>
      <c r="W84" s="23">
        <f t="shared" si="19"/>
        <v>0.01</v>
      </c>
      <c r="X84" s="23" t="str">
        <f t="shared" si="14"/>
        <v>Low</v>
      </c>
      <c r="Y84" s="23" t="s">
        <v>384</v>
      </c>
      <c r="Z84" s="23">
        <f t="shared" si="15"/>
        <v>-0.10054271856627253</v>
      </c>
      <c r="AA84" s="23">
        <f t="shared" si="16"/>
        <v>1.7935722817872411E-3</v>
      </c>
      <c r="AB84" s="23">
        <f t="shared" si="17"/>
        <v>2.9456809141648458E-3</v>
      </c>
      <c r="AC84" s="23">
        <f t="shared" si="18"/>
        <v>4.7392531959520867E-3</v>
      </c>
      <c r="AD84" s="23" t="s">
        <v>114</v>
      </c>
      <c r="AF84" s="23" t="s">
        <v>170</v>
      </c>
    </row>
    <row r="85" spans="1:33" s="23" customFormat="1" ht="15.75" x14ac:dyDescent="0.2">
      <c r="A85" s="23">
        <v>84</v>
      </c>
      <c r="B85" s="23">
        <v>11</v>
      </c>
      <c r="C85" s="23" t="s">
        <v>377</v>
      </c>
      <c r="D85" s="23" t="s">
        <v>378</v>
      </c>
      <c r="E85" s="23" t="s">
        <v>379</v>
      </c>
      <c r="F85" s="23" t="s">
        <v>333</v>
      </c>
      <c r="G85" s="23" t="s">
        <v>337</v>
      </c>
      <c r="H85" s="23" t="s">
        <v>360</v>
      </c>
      <c r="I85" s="23" t="s">
        <v>335</v>
      </c>
      <c r="J85" s="23">
        <v>11</v>
      </c>
      <c r="K85" s="23" t="s">
        <v>383</v>
      </c>
      <c r="L85" s="23">
        <v>24</v>
      </c>
      <c r="M85" s="23">
        <v>24.67436</v>
      </c>
      <c r="N85" s="23">
        <v>0.65015000000000001</v>
      </c>
      <c r="O85" s="23">
        <f t="shared" si="11"/>
        <v>3.1850715125409663</v>
      </c>
      <c r="P85" s="23">
        <v>24</v>
      </c>
      <c r="Q85" s="23">
        <v>26.599229999999999</v>
      </c>
      <c r="R85" s="23">
        <v>1.4436500000000017</v>
      </c>
      <c r="S85" s="23">
        <f t="shared" si="12"/>
        <v>7.0724117343378774</v>
      </c>
      <c r="T85" s="23">
        <v>24</v>
      </c>
      <c r="U85" s="23" t="s">
        <v>382</v>
      </c>
      <c r="V85" s="23">
        <v>100</v>
      </c>
      <c r="W85" s="23">
        <f t="shared" si="19"/>
        <v>0.1</v>
      </c>
      <c r="X85" s="23" t="str">
        <f t="shared" si="14"/>
        <v>Low</v>
      </c>
      <c r="Y85" s="23" t="s">
        <v>384</v>
      </c>
      <c r="Z85" s="23">
        <f t="shared" si="15"/>
        <v>-7.5117620200462379E-2</v>
      </c>
      <c r="AA85" s="23">
        <f t="shared" si="16"/>
        <v>6.9428109560414422E-4</v>
      </c>
      <c r="AB85" s="23">
        <f t="shared" si="17"/>
        <v>2.9456809141648458E-3</v>
      </c>
      <c r="AC85" s="23">
        <f t="shared" si="18"/>
        <v>3.6399620097689899E-3</v>
      </c>
      <c r="AD85" s="23" t="s">
        <v>114</v>
      </c>
      <c r="AF85" s="23" t="s">
        <v>170</v>
      </c>
    </row>
    <row r="86" spans="1:33" s="23" customFormat="1" ht="15.75" customHeight="1" x14ac:dyDescent="0.2">
      <c r="A86" s="23">
        <v>85</v>
      </c>
      <c r="B86" s="23">
        <v>11</v>
      </c>
      <c r="C86" s="23" t="s">
        <v>377</v>
      </c>
      <c r="D86" s="23" t="s">
        <v>378</v>
      </c>
      <c r="E86" s="23" t="s">
        <v>379</v>
      </c>
      <c r="F86" s="23" t="s">
        <v>333</v>
      </c>
      <c r="G86" s="23" t="s">
        <v>337</v>
      </c>
      <c r="H86" s="23" t="s">
        <v>360</v>
      </c>
      <c r="I86" s="23" t="s">
        <v>335</v>
      </c>
      <c r="J86" s="23">
        <v>11</v>
      </c>
      <c r="K86" s="23" t="s">
        <v>383</v>
      </c>
      <c r="L86" s="23">
        <v>24</v>
      </c>
      <c r="M86" s="23">
        <v>24.924939999999999</v>
      </c>
      <c r="N86" s="23">
        <v>0.59384000000000015</v>
      </c>
      <c r="O86" s="23">
        <f t="shared" si="11"/>
        <v>2.9092099777087252</v>
      </c>
      <c r="P86" s="23">
        <v>24</v>
      </c>
      <c r="Q86" s="23">
        <v>27.30031</v>
      </c>
      <c r="R86" s="23">
        <v>1.136490000000002</v>
      </c>
      <c r="S86" s="23">
        <f t="shared" si="12"/>
        <v>5.5676411955513174</v>
      </c>
      <c r="T86" s="23">
        <v>24</v>
      </c>
      <c r="U86" s="23" t="s">
        <v>380</v>
      </c>
      <c r="V86" s="23">
        <v>1</v>
      </c>
      <c r="W86" s="23">
        <f t="shared" si="19"/>
        <v>1E-3</v>
      </c>
      <c r="X86" s="23" t="str">
        <f t="shared" si="14"/>
        <v>Low</v>
      </c>
      <c r="Y86" s="23" t="s">
        <v>385</v>
      </c>
      <c r="Z86" s="23">
        <f t="shared" si="15"/>
        <v>-9.1029148814458588E-2</v>
      </c>
      <c r="AA86" s="23">
        <f t="shared" si="16"/>
        <v>5.6763694236177135E-4</v>
      </c>
      <c r="AB86" s="23">
        <f t="shared" si="17"/>
        <v>1.7329900942493911E-3</v>
      </c>
      <c r="AC86" s="23">
        <f t="shared" si="18"/>
        <v>2.3006270366111624E-3</v>
      </c>
      <c r="AD86" s="23" t="s">
        <v>114</v>
      </c>
      <c r="AF86" s="23" t="s">
        <v>170</v>
      </c>
      <c r="AG86" s="23" t="s">
        <v>387</v>
      </c>
    </row>
    <row r="87" spans="1:33" s="23" customFormat="1" ht="15.75" x14ac:dyDescent="0.2">
      <c r="A87" s="23">
        <v>86</v>
      </c>
      <c r="B87" s="23">
        <v>11</v>
      </c>
      <c r="C87" s="23" t="s">
        <v>377</v>
      </c>
      <c r="D87" s="23" t="s">
        <v>378</v>
      </c>
      <c r="E87" s="23" t="s">
        <v>379</v>
      </c>
      <c r="F87" s="23" t="s">
        <v>333</v>
      </c>
      <c r="G87" s="23" t="s">
        <v>337</v>
      </c>
      <c r="H87" s="23" t="s">
        <v>360</v>
      </c>
      <c r="I87" s="23" t="s">
        <v>335</v>
      </c>
      <c r="J87" s="23">
        <v>11</v>
      </c>
      <c r="K87" s="23" t="s">
        <v>383</v>
      </c>
      <c r="L87" s="23">
        <v>24</v>
      </c>
      <c r="M87" s="23">
        <v>23.56831</v>
      </c>
      <c r="N87" s="23">
        <v>0.62455999999999889</v>
      </c>
      <c r="O87" s="23">
        <f t="shared" si="11"/>
        <v>3.0597066275053177</v>
      </c>
      <c r="P87" s="23">
        <v>24</v>
      </c>
      <c r="Q87" s="23">
        <v>27.30031</v>
      </c>
      <c r="R87" s="23">
        <v>1.136490000000002</v>
      </c>
      <c r="S87" s="23">
        <f t="shared" si="12"/>
        <v>5.5676411955513174</v>
      </c>
      <c r="T87" s="23">
        <v>24</v>
      </c>
      <c r="U87" s="23" t="s">
        <v>381</v>
      </c>
      <c r="V87" s="23">
        <v>10</v>
      </c>
      <c r="W87" s="23">
        <f t="shared" si="19"/>
        <v>0.01</v>
      </c>
      <c r="X87" s="23" t="str">
        <f t="shared" si="14"/>
        <v>Low</v>
      </c>
      <c r="Y87" s="23" t="s">
        <v>385</v>
      </c>
      <c r="Z87" s="23">
        <f t="shared" si="15"/>
        <v>-0.146995044375652</v>
      </c>
      <c r="AA87" s="23">
        <f t="shared" si="16"/>
        <v>7.022495165118712E-4</v>
      </c>
      <c r="AB87" s="23">
        <f t="shared" si="17"/>
        <v>1.7329900942493911E-3</v>
      </c>
      <c r="AC87" s="23">
        <f t="shared" si="18"/>
        <v>2.4352396107612624E-3</v>
      </c>
      <c r="AD87" s="23" t="s">
        <v>114</v>
      </c>
      <c r="AF87" s="23" t="s">
        <v>170</v>
      </c>
    </row>
    <row r="88" spans="1:33" s="23" customFormat="1" ht="15.75" x14ac:dyDescent="0.2">
      <c r="A88" s="23">
        <v>87</v>
      </c>
      <c r="B88" s="23">
        <v>11</v>
      </c>
      <c r="C88" s="23" t="s">
        <v>377</v>
      </c>
      <c r="D88" s="23" t="s">
        <v>378</v>
      </c>
      <c r="E88" s="23" t="s">
        <v>379</v>
      </c>
      <c r="F88" s="23" t="s">
        <v>333</v>
      </c>
      <c r="G88" s="23" t="s">
        <v>337</v>
      </c>
      <c r="H88" s="23" t="s">
        <v>360</v>
      </c>
      <c r="I88" s="23" t="s">
        <v>335</v>
      </c>
      <c r="J88" s="23">
        <v>11</v>
      </c>
      <c r="K88" s="23" t="s">
        <v>383</v>
      </c>
      <c r="L88" s="23">
        <v>24</v>
      </c>
      <c r="M88" s="23">
        <v>24.899339999999999</v>
      </c>
      <c r="N88" s="23">
        <v>0.56313000000000102</v>
      </c>
      <c r="O88" s="23">
        <f t="shared" si="11"/>
        <v>2.7587623177069869</v>
      </c>
      <c r="P88" s="23">
        <v>24</v>
      </c>
      <c r="Q88" s="23">
        <v>27.30031</v>
      </c>
      <c r="R88" s="23">
        <v>1.136490000000002</v>
      </c>
      <c r="S88" s="23">
        <f t="shared" si="12"/>
        <v>5.5676411955513174</v>
      </c>
      <c r="T88" s="23">
        <v>24</v>
      </c>
      <c r="U88" s="23" t="s">
        <v>382</v>
      </c>
      <c r="V88" s="23">
        <v>100</v>
      </c>
      <c r="W88" s="23">
        <f t="shared" si="19"/>
        <v>0.1</v>
      </c>
      <c r="X88" s="23" t="str">
        <f t="shared" si="14"/>
        <v>Low</v>
      </c>
      <c r="Y88" s="23" t="s">
        <v>385</v>
      </c>
      <c r="Z88" s="23">
        <f t="shared" si="15"/>
        <v>-9.2056760342523622E-2</v>
      </c>
      <c r="AA88" s="23">
        <f t="shared" si="16"/>
        <v>5.1149531218063339E-4</v>
      </c>
      <c r="AB88" s="23">
        <f t="shared" si="17"/>
        <v>1.7329900942493911E-3</v>
      </c>
      <c r="AC88" s="23">
        <f t="shared" si="18"/>
        <v>2.2444854064300242E-3</v>
      </c>
      <c r="AD88" s="23" t="s">
        <v>114</v>
      </c>
      <c r="AF88" s="23" t="s">
        <v>170</v>
      </c>
    </row>
    <row r="89" spans="1:33" s="26" customFormat="1" ht="15.75" x14ac:dyDescent="0.2">
      <c r="A89" s="26">
        <v>88</v>
      </c>
      <c r="B89" s="26">
        <v>12</v>
      </c>
      <c r="C89" s="26" t="s">
        <v>401</v>
      </c>
      <c r="D89" s="26" t="s">
        <v>348</v>
      </c>
      <c r="E89" s="26" t="s">
        <v>402</v>
      </c>
      <c r="F89" s="26" t="s">
        <v>133</v>
      </c>
      <c r="G89" s="26" t="s">
        <v>337</v>
      </c>
      <c r="H89" s="26" t="s">
        <v>167</v>
      </c>
      <c r="I89" s="26" t="s">
        <v>173</v>
      </c>
      <c r="J89" s="26">
        <v>12</v>
      </c>
      <c r="K89" s="26" t="s">
        <v>375</v>
      </c>
      <c r="L89" s="26">
        <v>6</v>
      </c>
      <c r="M89" s="26">
        <v>1.6</v>
      </c>
      <c r="O89" s="26">
        <v>0.22</v>
      </c>
      <c r="P89" s="26">
        <v>6</v>
      </c>
      <c r="Q89" s="26">
        <v>1.1000000000000001</v>
      </c>
      <c r="S89" s="26">
        <v>0.08</v>
      </c>
      <c r="T89" s="26">
        <v>6</v>
      </c>
      <c r="U89" s="26" t="s">
        <v>405</v>
      </c>
      <c r="V89" s="26" t="s">
        <v>710</v>
      </c>
      <c r="X89" s="26" t="str">
        <f t="shared" si="14"/>
        <v>Low</v>
      </c>
      <c r="Y89" s="26" t="s">
        <v>403</v>
      </c>
      <c r="Z89" s="26">
        <f t="shared" si="15"/>
        <v>0.3746934494414107</v>
      </c>
      <c r="AA89" s="26">
        <f t="shared" si="16"/>
        <v>3.1510416666666661E-3</v>
      </c>
      <c r="AB89" s="26">
        <f t="shared" si="17"/>
        <v>8.8154269972451772E-4</v>
      </c>
      <c r="AC89" s="26">
        <f t="shared" si="18"/>
        <v>4.0325843663911835E-3</v>
      </c>
      <c r="AD89" s="26" t="s">
        <v>404</v>
      </c>
      <c r="AF89" s="26" t="s">
        <v>170</v>
      </c>
    </row>
    <row r="90" spans="1:33" s="26" customFormat="1" ht="15.75" x14ac:dyDescent="0.2">
      <c r="A90" s="26">
        <v>89</v>
      </c>
      <c r="B90" s="26">
        <v>12</v>
      </c>
      <c r="C90" s="26" t="s">
        <v>401</v>
      </c>
      <c r="D90" s="26" t="s">
        <v>348</v>
      </c>
      <c r="E90" s="26" t="s">
        <v>402</v>
      </c>
      <c r="F90" s="26" t="s">
        <v>133</v>
      </c>
      <c r="G90" s="26" t="s">
        <v>337</v>
      </c>
      <c r="H90" s="26" t="s">
        <v>225</v>
      </c>
      <c r="I90" s="26" t="s">
        <v>173</v>
      </c>
      <c r="J90" s="26">
        <v>12</v>
      </c>
      <c r="K90" s="26" t="s">
        <v>406</v>
      </c>
      <c r="L90" s="26">
        <v>6</v>
      </c>
      <c r="M90" s="26">
        <v>2.2999999999999998</v>
      </c>
      <c r="O90" s="26">
        <v>0.22</v>
      </c>
      <c r="P90" s="26">
        <v>6</v>
      </c>
      <c r="Q90" s="26">
        <v>1.6</v>
      </c>
      <c r="S90" s="26">
        <v>0.14000000000000001</v>
      </c>
      <c r="T90" s="26">
        <v>6</v>
      </c>
      <c r="U90" s="26" t="s">
        <v>405</v>
      </c>
      <c r="V90" s="26" t="s">
        <v>405</v>
      </c>
      <c r="X90" s="26" t="str">
        <f t="shared" si="14"/>
        <v>Low</v>
      </c>
      <c r="Y90" s="26" t="s">
        <v>403</v>
      </c>
      <c r="Z90" s="26">
        <f t="shared" si="15"/>
        <v>0.36290549368936831</v>
      </c>
      <c r="AA90" s="26">
        <f t="shared" si="16"/>
        <v>1.5248897290485194E-3</v>
      </c>
      <c r="AB90" s="26">
        <f t="shared" si="17"/>
        <v>1.2760416666666666E-3</v>
      </c>
      <c r="AC90" s="26">
        <f t="shared" si="18"/>
        <v>2.8009313957151859E-3</v>
      </c>
      <c r="AD90" s="26" t="s">
        <v>404</v>
      </c>
      <c r="AF90" s="26" t="s">
        <v>170</v>
      </c>
    </row>
    <row r="91" spans="1:33" s="26" customFormat="1" ht="15.75" x14ac:dyDescent="0.2">
      <c r="A91" s="26">
        <v>90</v>
      </c>
      <c r="B91" s="26">
        <v>12</v>
      </c>
      <c r="C91" s="26" t="s">
        <v>401</v>
      </c>
      <c r="D91" s="26" t="s">
        <v>348</v>
      </c>
      <c r="E91" s="26" t="s">
        <v>402</v>
      </c>
      <c r="F91" s="26" t="s">
        <v>133</v>
      </c>
      <c r="G91" s="26" t="s">
        <v>337</v>
      </c>
      <c r="H91" s="26" t="s">
        <v>140</v>
      </c>
      <c r="I91" s="26" t="s">
        <v>173</v>
      </c>
      <c r="J91" s="26">
        <v>12</v>
      </c>
      <c r="K91" s="26" t="s">
        <v>383</v>
      </c>
      <c r="L91" s="26">
        <v>6</v>
      </c>
      <c r="M91" s="26">
        <v>1.4</v>
      </c>
      <c r="O91" s="26">
        <v>0.15</v>
      </c>
      <c r="P91" s="26">
        <v>6</v>
      </c>
      <c r="Q91" s="26">
        <v>0.9</v>
      </c>
      <c r="S91" s="26">
        <v>7.0000000000000007E-2</v>
      </c>
      <c r="T91" s="26">
        <v>6</v>
      </c>
      <c r="U91" s="26" t="s">
        <v>405</v>
      </c>
      <c r="V91" s="26" t="s">
        <v>405</v>
      </c>
      <c r="X91" s="26" t="str">
        <f t="shared" si="14"/>
        <v>Low</v>
      </c>
      <c r="Y91" s="26" t="s">
        <v>403</v>
      </c>
      <c r="Z91" s="26">
        <f t="shared" si="15"/>
        <v>0.44183275227903912</v>
      </c>
      <c r="AA91" s="26">
        <f t="shared" si="16"/>
        <v>1.9132653061224492E-3</v>
      </c>
      <c r="AB91" s="26">
        <f t="shared" si="17"/>
        <v>1.0082304526748973E-3</v>
      </c>
      <c r="AC91" s="26">
        <f t="shared" si="18"/>
        <v>2.9214957587973467E-3</v>
      </c>
      <c r="AD91" s="26" t="s">
        <v>404</v>
      </c>
      <c r="AF91" s="26" t="s">
        <v>170</v>
      </c>
    </row>
    <row r="92" spans="1:33" s="27" customFormat="1" ht="15.75" x14ac:dyDescent="0.2">
      <c r="A92" s="27">
        <v>91</v>
      </c>
      <c r="B92" s="27">
        <v>13</v>
      </c>
      <c r="C92" s="27" t="s">
        <v>407</v>
      </c>
      <c r="D92" s="27" t="s">
        <v>408</v>
      </c>
      <c r="E92" s="27" t="s">
        <v>207</v>
      </c>
      <c r="F92" s="27" t="s">
        <v>133</v>
      </c>
      <c r="G92" s="27" t="s">
        <v>414</v>
      </c>
      <c r="H92" s="27" t="s">
        <v>140</v>
      </c>
      <c r="I92" s="27" t="s">
        <v>173</v>
      </c>
      <c r="J92" s="27">
        <v>13</v>
      </c>
      <c r="K92" s="27" t="s">
        <v>412</v>
      </c>
      <c r="L92" s="27">
        <v>10</v>
      </c>
      <c r="M92" s="27">
        <v>6.48515</v>
      </c>
      <c r="N92" s="27">
        <v>0.75578000000000056</v>
      </c>
      <c r="O92" s="27">
        <f xml:space="preserve"> N92*SQRT(L92)</f>
        <v>2.3899862100020597</v>
      </c>
      <c r="P92" s="27">
        <v>10</v>
      </c>
      <c r="Q92" s="27">
        <v>6.6152800000000003</v>
      </c>
      <c r="R92" s="27">
        <v>1.0460700000000003</v>
      </c>
      <c r="S92" s="27">
        <f xml:space="preserve"> R92*SQRT(P92)</f>
        <v>3.3079637919723375</v>
      </c>
      <c r="T92" s="27">
        <v>10</v>
      </c>
      <c r="U92" s="27" t="s">
        <v>410</v>
      </c>
      <c r="V92" s="27">
        <v>50</v>
      </c>
      <c r="W92" s="27">
        <f>(V92 * 0.001) * 1000</f>
        <v>50</v>
      </c>
      <c r="X92" s="27" t="str">
        <f t="shared" si="14"/>
        <v>High</v>
      </c>
      <c r="Y92" s="27" t="s">
        <v>411</v>
      </c>
      <c r="Z92" s="27">
        <f t="shared" si="15"/>
        <v>-1.9867176911840954E-2</v>
      </c>
      <c r="AA92" s="27">
        <f t="shared" si="16"/>
        <v>1.3581593847223152E-2</v>
      </c>
      <c r="AB92" s="27">
        <f t="shared" si="17"/>
        <v>2.5004894846789288E-2</v>
      </c>
      <c r="AC92" s="27">
        <f t="shared" si="18"/>
        <v>3.858648869401244E-2</v>
      </c>
      <c r="AD92" s="27" t="s">
        <v>409</v>
      </c>
      <c r="AF92" s="27" t="s">
        <v>416</v>
      </c>
    </row>
    <row r="93" spans="1:33" s="27" customFormat="1" ht="15.75" x14ac:dyDescent="0.2">
      <c r="A93" s="27">
        <v>92</v>
      </c>
      <c r="B93" s="27">
        <v>13</v>
      </c>
      <c r="C93" s="27" t="s">
        <v>407</v>
      </c>
      <c r="D93" s="27" t="s">
        <v>408</v>
      </c>
      <c r="E93" s="27" t="s">
        <v>207</v>
      </c>
      <c r="F93" s="27" t="s">
        <v>133</v>
      </c>
      <c r="G93" s="27" t="s">
        <v>414</v>
      </c>
      <c r="H93" s="27" t="s">
        <v>140</v>
      </c>
      <c r="I93" s="27" t="s">
        <v>173</v>
      </c>
      <c r="J93" s="27">
        <v>13</v>
      </c>
      <c r="K93" s="27" t="s">
        <v>412</v>
      </c>
      <c r="L93" s="27">
        <v>10</v>
      </c>
      <c r="M93" s="27">
        <v>7.0457200000000002</v>
      </c>
      <c r="N93" s="27">
        <v>3.5039999999999516E-2</v>
      </c>
      <c r="O93" s="27">
        <f xml:space="preserve"> N93*SQRT(L93)</f>
        <v>0.11080620921229849</v>
      </c>
      <c r="P93" s="27">
        <v>10</v>
      </c>
      <c r="Q93" s="27">
        <v>6.4501099999999996</v>
      </c>
      <c r="R93" s="27">
        <v>1.1361699999999999</v>
      </c>
      <c r="S93" s="27">
        <f xml:space="preserve"> R93*SQRT(P93)</f>
        <v>3.5928850091535076</v>
      </c>
      <c r="T93" s="27">
        <v>10</v>
      </c>
      <c r="U93" s="27" t="s">
        <v>410</v>
      </c>
      <c r="V93" s="27">
        <v>50</v>
      </c>
      <c r="W93" s="27">
        <f>(V93 * 0.001) * 1000</f>
        <v>50</v>
      </c>
      <c r="X93" s="27" t="str">
        <f t="shared" si="14"/>
        <v>High</v>
      </c>
      <c r="Y93" s="27" t="s">
        <v>411</v>
      </c>
      <c r="Z93" s="27">
        <f t="shared" si="15"/>
        <v>8.8323155344684878E-2</v>
      </c>
      <c r="AA93" s="27">
        <f>(O93^2)/(L93*M93^2)</f>
        <v>2.473303629001245E-5</v>
      </c>
      <c r="AB93" s="27">
        <f t="shared" si="17"/>
        <v>3.1027900725519697E-2</v>
      </c>
      <c r="AC93" s="27">
        <f t="shared" si="18"/>
        <v>3.1052633761809709E-2</v>
      </c>
      <c r="AD93" s="27" t="s">
        <v>409</v>
      </c>
      <c r="AF93" s="27" t="s">
        <v>415</v>
      </c>
    </row>
    <row r="94" spans="1:33" s="29" customFormat="1" ht="15.75" x14ac:dyDescent="0.2">
      <c r="A94" s="29">
        <v>93</v>
      </c>
      <c r="B94" s="29">
        <v>14</v>
      </c>
      <c r="C94" s="29" t="s">
        <v>424</v>
      </c>
      <c r="D94" s="29" t="s">
        <v>425</v>
      </c>
      <c r="E94" s="29" t="s">
        <v>426</v>
      </c>
      <c r="F94" s="29" t="s">
        <v>133</v>
      </c>
      <c r="G94" s="29" t="s">
        <v>414</v>
      </c>
      <c r="H94" s="29" t="s">
        <v>431</v>
      </c>
      <c r="I94" s="29" t="s">
        <v>434</v>
      </c>
      <c r="J94" s="29">
        <v>14</v>
      </c>
      <c r="K94" s="29" t="s">
        <v>433</v>
      </c>
      <c r="L94" s="29">
        <v>3</v>
      </c>
      <c r="M94" s="29">
        <v>63.204239999999999</v>
      </c>
      <c r="O94" s="29">
        <v>0.70602000000000231</v>
      </c>
      <c r="P94" s="29">
        <v>3</v>
      </c>
      <c r="Q94" s="29">
        <v>89.134609999999995</v>
      </c>
      <c r="S94" s="29">
        <v>2.118070000000003</v>
      </c>
      <c r="T94" s="29">
        <v>3</v>
      </c>
      <c r="U94" s="29" t="s">
        <v>435</v>
      </c>
      <c r="V94" s="29">
        <v>3</v>
      </c>
      <c r="W94" s="29">
        <f>V94 * 1000</f>
        <v>3000</v>
      </c>
      <c r="X94" s="29" t="str">
        <f t="shared" si="14"/>
        <v>High</v>
      </c>
      <c r="Y94" s="29" t="s">
        <v>430</v>
      </c>
      <c r="Z94" s="29">
        <f t="shared" si="15"/>
        <v>-0.3437763114985351</v>
      </c>
      <c r="AA94" s="29">
        <f t="shared" si="16"/>
        <v>4.1593007646539163E-5</v>
      </c>
      <c r="AB94" s="29">
        <f t="shared" si="17"/>
        <v>1.8822037139774528E-4</v>
      </c>
      <c r="AC94" s="29">
        <f t="shared" si="18"/>
        <v>2.2981337904428445E-4</v>
      </c>
      <c r="AD94" s="29" t="s">
        <v>427</v>
      </c>
      <c r="AF94" s="29" t="s">
        <v>445</v>
      </c>
    </row>
    <row r="95" spans="1:33" s="29" customFormat="1" ht="15.75" x14ac:dyDescent="0.2">
      <c r="A95" s="29">
        <v>94</v>
      </c>
      <c r="B95" s="29">
        <v>14</v>
      </c>
      <c r="C95" s="29" t="s">
        <v>424</v>
      </c>
      <c r="D95" s="29" t="s">
        <v>425</v>
      </c>
      <c r="E95" s="29" t="s">
        <v>426</v>
      </c>
      <c r="F95" s="29" t="s">
        <v>133</v>
      </c>
      <c r="G95" s="29" t="s">
        <v>414</v>
      </c>
      <c r="H95" s="29" t="s">
        <v>431</v>
      </c>
      <c r="I95" s="29" t="s">
        <v>434</v>
      </c>
      <c r="J95" s="29">
        <v>14</v>
      </c>
      <c r="K95" s="29" t="s">
        <v>433</v>
      </c>
      <c r="L95" s="29">
        <v>3</v>
      </c>
      <c r="M95" s="29">
        <v>62.883319999999998</v>
      </c>
      <c r="O95" s="29">
        <v>1.0269400000000033</v>
      </c>
      <c r="P95" s="29">
        <v>3</v>
      </c>
      <c r="Q95" s="29">
        <v>89.134609999999995</v>
      </c>
      <c r="S95" s="29">
        <v>2.118070000000003</v>
      </c>
      <c r="T95" s="29">
        <v>3</v>
      </c>
      <c r="U95" s="29" t="s">
        <v>435</v>
      </c>
      <c r="V95" s="29">
        <v>3</v>
      </c>
      <c r="W95" s="29">
        <f>V95 * 1000</f>
        <v>3000</v>
      </c>
      <c r="X95" s="29" t="str">
        <f t="shared" si="14"/>
        <v>High</v>
      </c>
      <c r="Y95" s="29" t="s">
        <v>430</v>
      </c>
      <c r="Z95" s="29">
        <f t="shared" si="15"/>
        <v>-0.34886675329927969</v>
      </c>
      <c r="AA95" s="29">
        <f t="shared" si="16"/>
        <v>8.8899222009015247E-5</v>
      </c>
      <c r="AB95" s="29">
        <f t="shared" si="17"/>
        <v>1.8822037139774528E-4</v>
      </c>
      <c r="AC95" s="29">
        <f t="shared" si="18"/>
        <v>2.7711959340676051E-4</v>
      </c>
      <c r="AD95" s="29" t="s">
        <v>428</v>
      </c>
      <c r="AF95" s="29" t="s">
        <v>445</v>
      </c>
    </row>
    <row r="96" spans="1:33" s="29" customFormat="1" ht="15.75" x14ac:dyDescent="0.2">
      <c r="A96" s="29">
        <v>95</v>
      </c>
      <c r="B96" s="29">
        <v>14</v>
      </c>
      <c r="C96" s="29" t="s">
        <v>424</v>
      </c>
      <c r="D96" s="29" t="s">
        <v>425</v>
      </c>
      <c r="E96" s="29" t="s">
        <v>426</v>
      </c>
      <c r="F96" s="29" t="s">
        <v>133</v>
      </c>
      <c r="G96" s="29" t="s">
        <v>414</v>
      </c>
      <c r="H96" s="29" t="s">
        <v>431</v>
      </c>
      <c r="I96" s="29" t="s">
        <v>434</v>
      </c>
      <c r="J96" s="29">
        <v>14</v>
      </c>
      <c r="K96" s="29" t="s">
        <v>433</v>
      </c>
      <c r="L96" s="29">
        <v>3</v>
      </c>
      <c r="M96" s="29">
        <v>60.765239999999999</v>
      </c>
      <c r="O96" s="29">
        <v>1.0269499999999994</v>
      </c>
      <c r="P96" s="29">
        <v>3</v>
      </c>
      <c r="Q96" s="29">
        <v>89.134609999999995</v>
      </c>
      <c r="S96" s="29">
        <v>2.118070000000003</v>
      </c>
      <c r="T96" s="29">
        <v>3</v>
      </c>
      <c r="U96" s="29" t="s">
        <v>435</v>
      </c>
      <c r="V96" s="29">
        <v>3</v>
      </c>
      <c r="W96" s="29">
        <f>V96 * 1000</f>
        <v>3000</v>
      </c>
      <c r="X96" s="29" t="str">
        <f t="shared" si="14"/>
        <v>High</v>
      </c>
      <c r="Y96" s="29" t="s">
        <v>430</v>
      </c>
      <c r="Z96" s="29">
        <f t="shared" si="15"/>
        <v>-0.38312978405157438</v>
      </c>
      <c r="AA96" s="29">
        <f t="shared" si="16"/>
        <v>9.5206567705526289E-5</v>
      </c>
      <c r="AB96" s="29">
        <f t="shared" si="17"/>
        <v>1.8822037139774528E-4</v>
      </c>
      <c r="AC96" s="29">
        <f t="shared" si="18"/>
        <v>2.8342693910327158E-4</v>
      </c>
      <c r="AD96" s="29" t="s">
        <v>429</v>
      </c>
      <c r="AF96" s="29" t="s">
        <v>445</v>
      </c>
    </row>
    <row r="97" spans="1:32" s="34" customFormat="1" ht="15.75" x14ac:dyDescent="0.2">
      <c r="A97" s="34">
        <v>96</v>
      </c>
      <c r="B97" s="34">
        <v>15</v>
      </c>
      <c r="C97" s="34" t="s">
        <v>507</v>
      </c>
      <c r="D97" s="34" t="s">
        <v>508</v>
      </c>
      <c r="E97" s="34" t="s">
        <v>132</v>
      </c>
      <c r="F97" s="34" t="s">
        <v>509</v>
      </c>
      <c r="G97" s="34" t="s">
        <v>521</v>
      </c>
      <c r="H97" s="34" t="s">
        <v>524</v>
      </c>
      <c r="I97" s="34" t="s">
        <v>525</v>
      </c>
      <c r="J97" s="34">
        <v>15</v>
      </c>
      <c r="K97" s="34" t="s">
        <v>526</v>
      </c>
      <c r="L97" s="34">
        <v>3</v>
      </c>
      <c r="M97" s="34">
        <v>2.82117</v>
      </c>
      <c r="O97" s="34">
        <v>1.6760000000000108E-2</v>
      </c>
      <c r="P97" s="34">
        <v>3</v>
      </c>
      <c r="Q97" s="34">
        <v>2.8738299999999999</v>
      </c>
      <c r="S97" s="34">
        <v>4.3090000000000295E-2</v>
      </c>
      <c r="T97" s="34">
        <v>3</v>
      </c>
      <c r="U97" s="34" t="s">
        <v>520</v>
      </c>
      <c r="V97" s="34" t="s">
        <v>709</v>
      </c>
      <c r="W97" s="34" t="str">
        <f t="shared" ref="W97:W102" si="20">V97</f>
        <v>0.5 </v>
      </c>
      <c r="X97" s="34" t="str">
        <f t="shared" si="14"/>
        <v>High</v>
      </c>
      <c r="Y97" s="34" t="s">
        <v>510</v>
      </c>
      <c r="Z97" s="34">
        <f t="shared" si="15"/>
        <v>-1.8493942375811111E-2</v>
      </c>
      <c r="AA97" s="34">
        <f t="shared" si="16"/>
        <v>1.1764358756921014E-5</v>
      </c>
      <c r="AB97" s="34">
        <f t="shared" si="17"/>
        <v>7.4939291927154334E-5</v>
      </c>
      <c r="AC97" s="34">
        <f t="shared" si="18"/>
        <v>8.6703650684075346E-5</v>
      </c>
      <c r="AD97" s="34" t="s">
        <v>512</v>
      </c>
      <c r="AF97" s="34" t="s">
        <v>513</v>
      </c>
    </row>
    <row r="98" spans="1:32" s="34" customFormat="1" ht="15.75" x14ac:dyDescent="0.2">
      <c r="A98" s="34">
        <v>97</v>
      </c>
      <c r="B98" s="34">
        <v>15</v>
      </c>
      <c r="C98" s="34" t="s">
        <v>507</v>
      </c>
      <c r="D98" s="34" t="s">
        <v>508</v>
      </c>
      <c r="E98" s="34" t="s">
        <v>132</v>
      </c>
      <c r="F98" s="34" t="s">
        <v>509</v>
      </c>
      <c r="G98" s="34" t="s">
        <v>521</v>
      </c>
      <c r="H98" s="34" t="s">
        <v>524</v>
      </c>
      <c r="I98" s="34" t="s">
        <v>525</v>
      </c>
      <c r="J98" s="34">
        <v>15</v>
      </c>
      <c r="K98" s="34" t="s">
        <v>526</v>
      </c>
      <c r="L98" s="34">
        <v>3</v>
      </c>
      <c r="M98" s="34">
        <v>2.6583999999999999</v>
      </c>
      <c r="O98" s="34">
        <v>2.6330000000000187E-2</v>
      </c>
      <c r="P98" s="34">
        <v>3</v>
      </c>
      <c r="Q98" s="34">
        <v>2.8738299999999999</v>
      </c>
      <c r="S98" s="34">
        <v>4.3090000000000295E-2</v>
      </c>
      <c r="T98" s="34">
        <v>3</v>
      </c>
      <c r="U98" s="34" t="s">
        <v>520</v>
      </c>
      <c r="V98" s="34" t="s">
        <v>709</v>
      </c>
      <c r="W98" s="34" t="str">
        <f t="shared" si="20"/>
        <v>0.5 </v>
      </c>
      <c r="X98" s="34" t="str">
        <f t="shared" si="14"/>
        <v>High</v>
      </c>
      <c r="Y98" s="34" t="s">
        <v>511</v>
      </c>
      <c r="Z98" s="34">
        <f t="shared" si="15"/>
        <v>-7.7921196840049139E-2</v>
      </c>
      <c r="AA98" s="34">
        <f t="shared" si="16"/>
        <v>3.2699401737019295E-5</v>
      </c>
      <c r="AB98" s="34">
        <f t="shared" si="17"/>
        <v>7.4939291927154334E-5</v>
      </c>
      <c r="AC98" s="34">
        <f t="shared" si="18"/>
        <v>1.0763869366417363E-4</v>
      </c>
      <c r="AD98" s="34" t="s">
        <v>512</v>
      </c>
      <c r="AF98" s="34" t="s">
        <v>513</v>
      </c>
    </row>
    <row r="99" spans="1:32" s="34" customFormat="1" ht="15.75" x14ac:dyDescent="0.2">
      <c r="A99" s="34">
        <v>98</v>
      </c>
      <c r="B99" s="34">
        <v>15</v>
      </c>
      <c r="C99" s="34" t="s">
        <v>507</v>
      </c>
      <c r="D99" s="34" t="s">
        <v>508</v>
      </c>
      <c r="E99" s="34" t="s">
        <v>132</v>
      </c>
      <c r="F99" s="34" t="s">
        <v>509</v>
      </c>
      <c r="G99" s="34" t="s">
        <v>521</v>
      </c>
      <c r="H99" s="34" t="s">
        <v>524</v>
      </c>
      <c r="I99" s="34" t="s">
        <v>525</v>
      </c>
      <c r="J99" s="34">
        <v>15</v>
      </c>
      <c r="K99" s="34" t="s">
        <v>526</v>
      </c>
      <c r="L99" s="34">
        <v>3</v>
      </c>
      <c r="M99" s="34">
        <v>2.47648</v>
      </c>
      <c r="O99" s="34">
        <v>2.6330000000000187E-2</v>
      </c>
      <c r="P99" s="34">
        <v>3</v>
      </c>
      <c r="Q99" s="34">
        <v>2.8738299999999999</v>
      </c>
      <c r="S99" s="34">
        <v>4.3090000000000295E-2</v>
      </c>
      <c r="T99" s="34">
        <v>3</v>
      </c>
      <c r="U99" s="34" t="s">
        <v>520</v>
      </c>
      <c r="V99" s="34" t="s">
        <v>709</v>
      </c>
      <c r="W99" s="34" t="str">
        <f t="shared" si="20"/>
        <v>0.5 </v>
      </c>
      <c r="X99" s="34" t="str">
        <f t="shared" si="14"/>
        <v>High</v>
      </c>
      <c r="Y99" s="34" t="s">
        <v>511</v>
      </c>
      <c r="Z99" s="34">
        <f t="shared" si="15"/>
        <v>-0.14880743779833935</v>
      </c>
      <c r="AA99" s="34">
        <f t="shared" si="16"/>
        <v>3.7679993008109791E-5</v>
      </c>
      <c r="AB99" s="34">
        <f t="shared" si="17"/>
        <v>7.4939291927154334E-5</v>
      </c>
      <c r="AC99" s="34">
        <f t="shared" si="18"/>
        <v>1.1261928493526413E-4</v>
      </c>
      <c r="AD99" s="34" t="s">
        <v>512</v>
      </c>
      <c r="AF99" s="34" t="s">
        <v>513</v>
      </c>
    </row>
    <row r="100" spans="1:32" s="34" customFormat="1" ht="15.75" x14ac:dyDescent="0.2">
      <c r="A100" s="34">
        <v>99</v>
      </c>
      <c r="B100" s="34">
        <v>15</v>
      </c>
      <c r="C100" s="34" t="s">
        <v>507</v>
      </c>
      <c r="D100" s="34" t="s">
        <v>508</v>
      </c>
      <c r="E100" s="34" t="s">
        <v>132</v>
      </c>
      <c r="F100" s="34" t="s">
        <v>509</v>
      </c>
      <c r="G100" s="34" t="s">
        <v>521</v>
      </c>
      <c r="H100" s="34" t="s">
        <v>524</v>
      </c>
      <c r="I100" s="34" t="s">
        <v>525</v>
      </c>
      <c r="J100" s="34">
        <v>15</v>
      </c>
      <c r="K100" s="34" t="s">
        <v>526</v>
      </c>
      <c r="L100" s="34">
        <v>3</v>
      </c>
      <c r="M100" s="34">
        <v>0.97341999999999995</v>
      </c>
      <c r="O100" s="34">
        <v>2.6500000000000412E-3</v>
      </c>
      <c r="P100" s="34">
        <v>3</v>
      </c>
      <c r="Q100" s="34">
        <v>1.0272300000000001</v>
      </c>
      <c r="S100" s="34">
        <v>6.1700000000000088E-3</v>
      </c>
      <c r="T100" s="34">
        <v>3</v>
      </c>
      <c r="U100" s="34" t="s">
        <v>520</v>
      </c>
      <c r="V100" s="34" t="s">
        <v>709</v>
      </c>
      <c r="W100" s="34" t="str">
        <f t="shared" si="20"/>
        <v>0.5 </v>
      </c>
      <c r="X100" s="34" t="str">
        <f t="shared" si="14"/>
        <v>High</v>
      </c>
      <c r="Y100" s="34" t="s">
        <v>510</v>
      </c>
      <c r="Z100" s="34">
        <f t="shared" si="15"/>
        <v>-5.380549439051293E-2</v>
      </c>
      <c r="AA100" s="34">
        <f t="shared" si="16"/>
        <v>2.4704152695692522E-6</v>
      </c>
      <c r="AB100" s="34">
        <f t="shared" si="17"/>
        <v>1.2025791907263522E-5</v>
      </c>
      <c r="AC100" s="34">
        <f t="shared" si="18"/>
        <v>1.4496207176832774E-5</v>
      </c>
      <c r="AD100" s="34" t="s">
        <v>512</v>
      </c>
      <c r="AF100" s="34" t="s">
        <v>514</v>
      </c>
    </row>
    <row r="101" spans="1:32" s="34" customFormat="1" ht="15.75" x14ac:dyDescent="0.2">
      <c r="A101" s="34">
        <v>100</v>
      </c>
      <c r="B101" s="34">
        <v>15</v>
      </c>
      <c r="C101" s="34" t="s">
        <v>507</v>
      </c>
      <c r="D101" s="34" t="s">
        <v>508</v>
      </c>
      <c r="E101" s="34" t="s">
        <v>132</v>
      </c>
      <c r="F101" s="34" t="s">
        <v>509</v>
      </c>
      <c r="G101" s="34" t="s">
        <v>521</v>
      </c>
      <c r="H101" s="34" t="s">
        <v>524</v>
      </c>
      <c r="I101" s="34" t="s">
        <v>525</v>
      </c>
      <c r="J101" s="34">
        <v>15</v>
      </c>
      <c r="K101" s="34" t="s">
        <v>526</v>
      </c>
      <c r="L101" s="34">
        <v>3</v>
      </c>
      <c r="M101" s="34">
        <v>0.93461000000000005</v>
      </c>
      <c r="O101" s="34">
        <v>1.5879999999999894E-2</v>
      </c>
      <c r="P101" s="34">
        <v>3</v>
      </c>
      <c r="Q101" s="34">
        <v>1.0272300000000001</v>
      </c>
      <c r="S101" s="34">
        <v>6.1700000000000088E-3</v>
      </c>
      <c r="T101" s="34">
        <v>3</v>
      </c>
      <c r="U101" s="34" t="s">
        <v>520</v>
      </c>
      <c r="V101" s="34" t="s">
        <v>709</v>
      </c>
      <c r="W101" s="34" t="str">
        <f t="shared" si="20"/>
        <v>0.5 </v>
      </c>
      <c r="X101" s="34" t="str">
        <f t="shared" si="14"/>
        <v>High</v>
      </c>
      <c r="Y101" s="34" t="s">
        <v>511</v>
      </c>
      <c r="Z101" s="34">
        <f t="shared" si="15"/>
        <v>-9.449180814300906E-2</v>
      </c>
      <c r="AA101" s="34">
        <f t="shared" si="16"/>
        <v>9.6231863186579865E-5</v>
      </c>
      <c r="AB101" s="34">
        <f t="shared" si="17"/>
        <v>1.2025791907263522E-5</v>
      </c>
      <c r="AC101" s="34">
        <f t="shared" si="18"/>
        <v>1.0825765509384339E-4</v>
      </c>
      <c r="AD101" s="34" t="s">
        <v>512</v>
      </c>
      <c r="AF101" s="34" t="s">
        <v>514</v>
      </c>
    </row>
    <row r="102" spans="1:32" s="34" customFormat="1" ht="15.75" x14ac:dyDescent="0.2">
      <c r="A102" s="34">
        <v>101</v>
      </c>
      <c r="B102" s="34">
        <v>15</v>
      </c>
      <c r="C102" s="34" t="s">
        <v>507</v>
      </c>
      <c r="D102" s="34" t="s">
        <v>508</v>
      </c>
      <c r="E102" s="34" t="s">
        <v>132</v>
      </c>
      <c r="F102" s="34" t="s">
        <v>509</v>
      </c>
      <c r="G102" s="34" t="s">
        <v>521</v>
      </c>
      <c r="H102" s="34" t="s">
        <v>524</v>
      </c>
      <c r="I102" s="34" t="s">
        <v>525</v>
      </c>
      <c r="J102" s="34">
        <v>15</v>
      </c>
      <c r="K102" s="34" t="s">
        <v>526</v>
      </c>
      <c r="L102" s="34">
        <v>3</v>
      </c>
      <c r="M102" s="34">
        <v>0.91608999999999996</v>
      </c>
      <c r="O102" s="34">
        <v>1.2350000000000083E-2</v>
      </c>
      <c r="P102" s="34">
        <v>3</v>
      </c>
      <c r="Q102" s="34">
        <v>1.0272300000000001</v>
      </c>
      <c r="S102" s="34">
        <v>6.1700000000000088E-3</v>
      </c>
      <c r="T102" s="34">
        <v>3</v>
      </c>
      <c r="U102" s="34" t="s">
        <v>520</v>
      </c>
      <c r="V102" s="34" t="s">
        <v>709</v>
      </c>
      <c r="W102" s="34" t="str">
        <f t="shared" si="20"/>
        <v>0.5 </v>
      </c>
      <c r="X102" s="34" t="str">
        <f t="shared" si="14"/>
        <v>High</v>
      </c>
      <c r="Y102" s="34" t="s">
        <v>511</v>
      </c>
      <c r="Z102" s="34">
        <f t="shared" si="15"/>
        <v>-0.11450652499399552</v>
      </c>
      <c r="AA102" s="34">
        <f t="shared" si="16"/>
        <v>6.0580991314977757E-5</v>
      </c>
      <c r="AB102" s="34">
        <f t="shared" si="17"/>
        <v>1.2025791907263522E-5</v>
      </c>
      <c r="AC102" s="34">
        <f t="shared" si="18"/>
        <v>7.2606783222241284E-5</v>
      </c>
      <c r="AD102" s="34" t="s">
        <v>512</v>
      </c>
      <c r="AF102" s="34" t="s">
        <v>514</v>
      </c>
    </row>
    <row r="103" spans="1:32" s="36" customFormat="1" ht="15.75" x14ac:dyDescent="0.2">
      <c r="A103" s="36">
        <v>102</v>
      </c>
      <c r="B103" s="36">
        <v>16</v>
      </c>
      <c r="C103" s="36" t="s">
        <v>555</v>
      </c>
      <c r="D103" s="36" t="s">
        <v>508</v>
      </c>
      <c r="E103" s="36" t="s">
        <v>556</v>
      </c>
      <c r="F103" s="36" t="s">
        <v>557</v>
      </c>
      <c r="G103" s="36" t="s">
        <v>521</v>
      </c>
      <c r="H103" s="36" t="s">
        <v>167</v>
      </c>
      <c r="I103" s="36" t="s">
        <v>173</v>
      </c>
      <c r="J103" s="36">
        <v>16</v>
      </c>
      <c r="K103" s="36" t="s">
        <v>526</v>
      </c>
      <c r="L103" s="36">
        <v>3</v>
      </c>
      <c r="M103" s="36">
        <v>2.7065600000000001</v>
      </c>
      <c r="O103" s="36">
        <v>5.2140000000000075E-2</v>
      </c>
      <c r="P103" s="36">
        <v>3</v>
      </c>
      <c r="Q103" s="36">
        <v>2.9011100000000001</v>
      </c>
      <c r="S103" s="36">
        <v>3.208999999999973E-2</v>
      </c>
      <c r="T103" s="36">
        <v>3</v>
      </c>
      <c r="U103" s="36" t="s">
        <v>560</v>
      </c>
      <c r="V103" s="36">
        <v>6000</v>
      </c>
      <c r="W103" s="36">
        <f>V103 * 0.000000001</f>
        <v>6.0000000000000002E-6</v>
      </c>
      <c r="X103" s="36" t="str">
        <f t="shared" si="14"/>
        <v>Low</v>
      </c>
      <c r="Y103" s="36" t="s">
        <v>559</v>
      </c>
      <c r="Z103" s="36">
        <f t="shared" si="15"/>
        <v>-6.9414966517791721E-2</v>
      </c>
      <c r="AA103" s="36">
        <f t="shared" si="16"/>
        <v>1.2370449499581819E-4</v>
      </c>
      <c r="AB103" s="36">
        <f t="shared" si="17"/>
        <v>4.0783997111766844E-5</v>
      </c>
      <c r="AC103" s="36">
        <f t="shared" si="18"/>
        <v>1.6448849210758503E-4</v>
      </c>
      <c r="AD103" s="36" t="s">
        <v>558</v>
      </c>
      <c r="AF103" s="36" t="s">
        <v>170</v>
      </c>
    </row>
    <row r="104" spans="1:32" s="36" customFormat="1" ht="15.75" x14ac:dyDescent="0.2">
      <c r="A104" s="36">
        <v>103</v>
      </c>
      <c r="B104" s="36">
        <v>16</v>
      </c>
      <c r="C104" s="36" t="s">
        <v>555</v>
      </c>
      <c r="D104" s="36" t="s">
        <v>508</v>
      </c>
      <c r="E104" s="36" t="s">
        <v>556</v>
      </c>
      <c r="F104" s="36" t="s">
        <v>557</v>
      </c>
      <c r="G104" s="36" t="s">
        <v>521</v>
      </c>
      <c r="H104" s="36" t="s">
        <v>167</v>
      </c>
      <c r="I104" s="36" t="s">
        <v>173</v>
      </c>
      <c r="J104" s="36">
        <v>16</v>
      </c>
      <c r="K104" s="36" t="s">
        <v>526</v>
      </c>
      <c r="L104" s="36">
        <v>3</v>
      </c>
      <c r="M104" s="36">
        <v>2.55613</v>
      </c>
      <c r="O104" s="36">
        <v>4.2120000000000157E-2</v>
      </c>
      <c r="P104" s="36">
        <v>3</v>
      </c>
      <c r="Q104" s="36">
        <v>2.9011100000000001</v>
      </c>
      <c r="S104" s="36">
        <v>3.208999999999973E-2</v>
      </c>
      <c r="T104" s="36">
        <v>3</v>
      </c>
      <c r="U104" s="36" t="s">
        <v>560</v>
      </c>
      <c r="V104" s="36">
        <v>6000</v>
      </c>
      <c r="W104" s="36">
        <f>V104 * 0.000000001</f>
        <v>6.0000000000000002E-6</v>
      </c>
      <c r="X104" s="36" t="str">
        <f t="shared" si="14"/>
        <v>Low</v>
      </c>
      <c r="Y104" s="36" t="s">
        <v>559</v>
      </c>
      <c r="Z104" s="36">
        <f t="shared" si="15"/>
        <v>-0.12659902643792315</v>
      </c>
      <c r="AA104" s="36">
        <f t="shared" si="16"/>
        <v>9.0508547519915414E-5</v>
      </c>
      <c r="AB104" s="36">
        <f t="shared" si="17"/>
        <v>4.0783997111766844E-5</v>
      </c>
      <c r="AC104" s="36">
        <f t="shared" si="18"/>
        <v>1.3129254463168226E-4</v>
      </c>
      <c r="AD104" s="36" t="s">
        <v>558</v>
      </c>
      <c r="AF104" s="36" t="s">
        <v>170</v>
      </c>
    </row>
    <row r="105" spans="1:32" s="36" customFormat="1" ht="15.75" x14ac:dyDescent="0.2">
      <c r="A105" s="36">
        <v>104</v>
      </c>
      <c r="B105" s="36">
        <v>16</v>
      </c>
      <c r="C105" s="36" t="s">
        <v>555</v>
      </c>
      <c r="D105" s="36" t="s">
        <v>508</v>
      </c>
      <c r="E105" s="36" t="s">
        <v>556</v>
      </c>
      <c r="F105" s="36" t="s">
        <v>557</v>
      </c>
      <c r="G105" s="36" t="s">
        <v>521</v>
      </c>
      <c r="H105" s="36" t="s">
        <v>167</v>
      </c>
      <c r="I105" s="36" t="s">
        <v>173</v>
      </c>
      <c r="J105" s="36">
        <v>16</v>
      </c>
      <c r="K105" s="36" t="s">
        <v>526</v>
      </c>
      <c r="L105" s="36">
        <v>3</v>
      </c>
      <c r="M105" s="36">
        <v>1.01644</v>
      </c>
      <c r="O105" s="36">
        <v>1.7109999999999959E-2</v>
      </c>
      <c r="P105" s="36">
        <v>3</v>
      </c>
      <c r="Q105" s="36">
        <v>1.0433300000000001</v>
      </c>
      <c r="S105" s="36">
        <v>2.4440000000000017E-2</v>
      </c>
      <c r="T105" s="36">
        <v>3</v>
      </c>
      <c r="U105" s="36" t="s">
        <v>560</v>
      </c>
      <c r="V105" s="36">
        <v>6000</v>
      </c>
      <c r="W105" s="36">
        <f>V105 * 0.000000001</f>
        <v>6.0000000000000002E-6</v>
      </c>
      <c r="X105" s="36" t="str">
        <f t="shared" si="14"/>
        <v>Low</v>
      </c>
      <c r="Y105" s="36" t="s">
        <v>559</v>
      </c>
      <c r="Z105" s="36">
        <f t="shared" si="15"/>
        <v>-2.6111194716359951E-2</v>
      </c>
      <c r="AA105" s="36">
        <f t="shared" si="16"/>
        <v>9.4452894053158841E-5</v>
      </c>
      <c r="AB105" s="36">
        <f t="shared" si="17"/>
        <v>1.829101297508226E-4</v>
      </c>
      <c r="AC105" s="36">
        <f t="shared" si="18"/>
        <v>2.7736302380398144E-4</v>
      </c>
      <c r="AD105" s="36" t="s">
        <v>558</v>
      </c>
      <c r="AF105" s="36" t="s">
        <v>244</v>
      </c>
    </row>
    <row r="106" spans="1:32" s="36" customFormat="1" ht="15.75" x14ac:dyDescent="0.2">
      <c r="A106" s="36">
        <v>105</v>
      </c>
      <c r="B106" s="36">
        <v>16</v>
      </c>
      <c r="C106" s="36" t="s">
        <v>555</v>
      </c>
      <c r="D106" s="36" t="s">
        <v>508</v>
      </c>
      <c r="E106" s="36" t="s">
        <v>556</v>
      </c>
      <c r="F106" s="36" t="s">
        <v>557</v>
      </c>
      <c r="G106" s="36" t="s">
        <v>521</v>
      </c>
      <c r="H106" s="36" t="s">
        <v>167</v>
      </c>
      <c r="I106" s="36" t="s">
        <v>173</v>
      </c>
      <c r="J106" s="36">
        <v>16</v>
      </c>
      <c r="K106" s="36" t="s">
        <v>526</v>
      </c>
      <c r="L106" s="36">
        <v>3</v>
      </c>
      <c r="M106" s="36">
        <v>0.95126999999999995</v>
      </c>
      <c r="O106" s="36">
        <v>1.3850000000000029E-2</v>
      </c>
      <c r="P106" s="36">
        <v>3</v>
      </c>
      <c r="Q106" s="36">
        <v>1.0433300000000001</v>
      </c>
      <c r="S106" s="36">
        <v>2.4440000000000017E-2</v>
      </c>
      <c r="T106" s="36">
        <v>3</v>
      </c>
      <c r="U106" s="36" t="s">
        <v>560</v>
      </c>
      <c r="V106" s="36">
        <v>6000</v>
      </c>
      <c r="W106" s="36">
        <f>V106 * 0.000000001</f>
        <v>6.0000000000000002E-6</v>
      </c>
      <c r="X106" s="36" t="str">
        <f t="shared" si="14"/>
        <v>Low</v>
      </c>
      <c r="Y106" s="36" t="s">
        <v>559</v>
      </c>
      <c r="Z106" s="36">
        <f t="shared" si="15"/>
        <v>-9.2374866050784252E-2</v>
      </c>
      <c r="AA106" s="36">
        <f t="shared" si="16"/>
        <v>7.0659521265129099E-5</v>
      </c>
      <c r="AB106" s="36">
        <f t="shared" si="17"/>
        <v>1.829101297508226E-4</v>
      </c>
      <c r="AC106" s="36">
        <f t="shared" si="18"/>
        <v>2.5356965101595169E-4</v>
      </c>
      <c r="AD106" s="36" t="s">
        <v>558</v>
      </c>
      <c r="AF106" s="36" t="s">
        <v>244</v>
      </c>
    </row>
    <row r="107" spans="1:32" s="37" customFormat="1" ht="15.75" x14ac:dyDescent="0.2">
      <c r="A107" s="37">
        <v>106</v>
      </c>
      <c r="B107" s="37">
        <v>17</v>
      </c>
      <c r="C107" s="37" t="s">
        <v>572</v>
      </c>
      <c r="D107" s="37" t="s">
        <v>508</v>
      </c>
      <c r="E107" s="37" t="s">
        <v>556</v>
      </c>
      <c r="F107" s="37" t="s">
        <v>557</v>
      </c>
      <c r="G107" s="37" t="s">
        <v>521</v>
      </c>
      <c r="H107" s="37" t="s">
        <v>167</v>
      </c>
      <c r="I107" s="37" t="s">
        <v>173</v>
      </c>
      <c r="J107" s="37">
        <v>17</v>
      </c>
      <c r="K107" s="37" t="s">
        <v>526</v>
      </c>
      <c r="L107" s="37">
        <v>3</v>
      </c>
      <c r="M107" s="37">
        <v>2.42672</v>
      </c>
      <c r="O107" s="37">
        <v>1.8930000000000113E-2</v>
      </c>
      <c r="P107" s="37">
        <v>3</v>
      </c>
      <c r="Q107" s="37">
        <v>2.6264099999999999</v>
      </c>
      <c r="S107" s="37">
        <v>1.8930000000000113E-2</v>
      </c>
      <c r="T107" s="37">
        <v>3</v>
      </c>
      <c r="U107" s="37" t="s">
        <v>573</v>
      </c>
      <c r="V107" s="37">
        <v>0.1</v>
      </c>
      <c r="W107" s="37">
        <f>V107</f>
        <v>0.1</v>
      </c>
      <c r="X107" s="37" t="str">
        <f t="shared" si="14"/>
        <v>Low</v>
      </c>
      <c r="Y107" s="37" t="s">
        <v>559</v>
      </c>
      <c r="Z107" s="37">
        <f t="shared" si="15"/>
        <v>-7.9077343370194092E-2</v>
      </c>
      <c r="AA107" s="37">
        <f t="shared" si="16"/>
        <v>2.0283394353136567E-5</v>
      </c>
      <c r="AB107" s="37">
        <f t="shared" si="17"/>
        <v>1.7316293037898043E-5</v>
      </c>
      <c r="AC107" s="37">
        <f t="shared" si="18"/>
        <v>3.7599687391034613E-5</v>
      </c>
      <c r="AD107" s="37" t="s">
        <v>566</v>
      </c>
      <c r="AF107" s="37" t="s">
        <v>170</v>
      </c>
    </row>
    <row r="108" spans="1:32" s="37" customFormat="1" ht="15.75" x14ac:dyDescent="0.2">
      <c r="A108" s="37">
        <v>107</v>
      </c>
      <c r="B108" s="37">
        <v>17</v>
      </c>
      <c r="C108" s="37" t="s">
        <v>572</v>
      </c>
      <c r="D108" s="37" t="s">
        <v>508</v>
      </c>
      <c r="E108" s="37" t="s">
        <v>556</v>
      </c>
      <c r="F108" s="37" t="s">
        <v>557</v>
      </c>
      <c r="G108" s="37" t="s">
        <v>521</v>
      </c>
      <c r="H108" s="37" t="s">
        <v>167</v>
      </c>
      <c r="I108" s="37" t="s">
        <v>173</v>
      </c>
      <c r="J108" s="37">
        <v>17</v>
      </c>
      <c r="K108" s="37" t="s">
        <v>526</v>
      </c>
      <c r="L108" s="37">
        <v>3</v>
      </c>
      <c r="M108" s="37">
        <v>1.9808600000000001</v>
      </c>
      <c r="O108" s="37">
        <v>8.6100000000000065E-3</v>
      </c>
      <c r="P108" s="37">
        <v>3</v>
      </c>
      <c r="Q108" s="37">
        <v>2.6264099999999999</v>
      </c>
      <c r="S108" s="37">
        <v>1.8930000000000113E-2</v>
      </c>
      <c r="T108" s="37">
        <v>3</v>
      </c>
      <c r="U108" s="37" t="s">
        <v>574</v>
      </c>
      <c r="V108" s="37">
        <v>1</v>
      </c>
      <c r="W108" s="37">
        <f t="shared" ref="W108:W114" si="21">V108</f>
        <v>1</v>
      </c>
      <c r="X108" s="37" t="str">
        <f t="shared" si="14"/>
        <v>Low</v>
      </c>
      <c r="Y108" s="37" t="s">
        <v>559</v>
      </c>
      <c r="Z108" s="37">
        <f t="shared" si="15"/>
        <v>-0.28208680085016141</v>
      </c>
      <c r="AA108" s="37">
        <f t="shared" si="16"/>
        <v>6.2976349649608571E-6</v>
      </c>
      <c r="AB108" s="37">
        <f t="shared" si="17"/>
        <v>1.7316293037898043E-5</v>
      </c>
      <c r="AC108" s="37">
        <f t="shared" si="18"/>
        <v>2.36139280028589E-5</v>
      </c>
      <c r="AD108" s="37" t="s">
        <v>566</v>
      </c>
      <c r="AF108" s="37" t="s">
        <v>170</v>
      </c>
    </row>
    <row r="109" spans="1:32" s="37" customFormat="1" ht="15.75" x14ac:dyDescent="0.2">
      <c r="A109" s="37">
        <v>108</v>
      </c>
      <c r="B109" s="37">
        <v>17</v>
      </c>
      <c r="C109" s="37" t="s">
        <v>572</v>
      </c>
      <c r="D109" s="37" t="s">
        <v>508</v>
      </c>
      <c r="E109" s="37" t="s">
        <v>556</v>
      </c>
      <c r="F109" s="37" t="s">
        <v>557</v>
      </c>
      <c r="G109" s="37" t="s">
        <v>521</v>
      </c>
      <c r="H109" s="37" t="s">
        <v>167</v>
      </c>
      <c r="I109" s="37" t="s">
        <v>173</v>
      </c>
      <c r="J109" s="37">
        <v>17</v>
      </c>
      <c r="K109" s="37" t="s">
        <v>526</v>
      </c>
      <c r="L109" s="37">
        <v>3</v>
      </c>
      <c r="M109" s="37">
        <v>2.2080899999999999</v>
      </c>
      <c r="O109" s="37">
        <v>2.9269999999999907E-2</v>
      </c>
      <c r="P109" s="37">
        <v>3</v>
      </c>
      <c r="Q109" s="37">
        <v>2.6264099999999999</v>
      </c>
      <c r="S109" s="37">
        <v>1.8930000000000113E-2</v>
      </c>
      <c r="T109" s="37">
        <v>3</v>
      </c>
      <c r="U109" s="37" t="s">
        <v>573</v>
      </c>
      <c r="V109" s="37">
        <v>0.1</v>
      </c>
      <c r="W109" s="37">
        <f t="shared" si="21"/>
        <v>0.1</v>
      </c>
      <c r="X109" s="37" t="str">
        <f t="shared" si="14"/>
        <v>Low</v>
      </c>
      <c r="Y109" s="37" t="s">
        <v>559</v>
      </c>
      <c r="Z109" s="37">
        <f t="shared" si="15"/>
        <v>-0.17349000623743149</v>
      </c>
      <c r="AA109" s="37">
        <f t="shared" si="16"/>
        <v>5.8572080193266599E-5</v>
      </c>
      <c r="AB109" s="37">
        <f t="shared" si="17"/>
        <v>1.7316293037898043E-5</v>
      </c>
      <c r="AC109" s="37">
        <f t="shared" si="18"/>
        <v>7.5888373231164645E-5</v>
      </c>
      <c r="AD109" s="37" t="s">
        <v>566</v>
      </c>
      <c r="AF109" s="37" t="s">
        <v>170</v>
      </c>
    </row>
    <row r="110" spans="1:32" s="37" customFormat="1" ht="15.75" x14ac:dyDescent="0.2">
      <c r="A110" s="37">
        <v>109</v>
      </c>
      <c r="B110" s="37">
        <v>17</v>
      </c>
      <c r="C110" s="37" t="s">
        <v>572</v>
      </c>
      <c r="D110" s="37" t="s">
        <v>508</v>
      </c>
      <c r="E110" s="37" t="s">
        <v>556</v>
      </c>
      <c r="F110" s="37" t="s">
        <v>557</v>
      </c>
      <c r="G110" s="37" t="s">
        <v>521</v>
      </c>
      <c r="H110" s="37" t="s">
        <v>167</v>
      </c>
      <c r="I110" s="37" t="s">
        <v>173</v>
      </c>
      <c r="J110" s="37">
        <v>17</v>
      </c>
      <c r="K110" s="37" t="s">
        <v>526</v>
      </c>
      <c r="L110" s="37">
        <v>3</v>
      </c>
      <c r="M110" s="37">
        <v>1.63829</v>
      </c>
      <c r="O110" s="37">
        <v>5.6810000000000027E-2</v>
      </c>
      <c r="P110" s="37">
        <v>3</v>
      </c>
      <c r="Q110" s="37">
        <v>2.6264099999999999</v>
      </c>
      <c r="S110" s="37">
        <v>1.8930000000000113E-2</v>
      </c>
      <c r="T110" s="37">
        <v>3</v>
      </c>
      <c r="U110" s="37" t="s">
        <v>574</v>
      </c>
      <c r="V110" s="37">
        <v>1</v>
      </c>
      <c r="W110" s="37">
        <f t="shared" si="21"/>
        <v>1</v>
      </c>
      <c r="X110" s="37" t="str">
        <f t="shared" si="14"/>
        <v>Low</v>
      </c>
      <c r="Y110" s="37" t="s">
        <v>559</v>
      </c>
      <c r="Z110" s="37">
        <f t="shared" si="15"/>
        <v>-0.4719648797538688</v>
      </c>
      <c r="AA110" s="37">
        <f t="shared" si="16"/>
        <v>4.0081758140736245E-4</v>
      </c>
      <c r="AB110" s="37">
        <f t="shared" si="17"/>
        <v>1.7316293037898043E-5</v>
      </c>
      <c r="AC110" s="37">
        <f t="shared" si="18"/>
        <v>4.1813387444526051E-4</v>
      </c>
      <c r="AD110" s="37" t="s">
        <v>566</v>
      </c>
      <c r="AF110" s="37" t="s">
        <v>170</v>
      </c>
    </row>
    <row r="111" spans="1:32" s="37" customFormat="1" ht="15.75" x14ac:dyDescent="0.2">
      <c r="A111" s="37">
        <v>110</v>
      </c>
      <c r="B111" s="37">
        <v>17</v>
      </c>
      <c r="C111" s="37" t="s">
        <v>572</v>
      </c>
      <c r="D111" s="37" t="s">
        <v>508</v>
      </c>
      <c r="E111" s="37" t="s">
        <v>556</v>
      </c>
      <c r="F111" s="37" t="s">
        <v>557</v>
      </c>
      <c r="G111" s="37" t="s">
        <v>521</v>
      </c>
      <c r="H111" s="37" t="s">
        <v>167</v>
      </c>
      <c r="I111" s="37" t="s">
        <v>173</v>
      </c>
      <c r="J111" s="37">
        <v>17</v>
      </c>
      <c r="K111" s="37" t="s">
        <v>526</v>
      </c>
      <c r="L111" s="37">
        <v>3</v>
      </c>
      <c r="M111" s="37">
        <v>0.88980000000000004</v>
      </c>
      <c r="O111" s="37">
        <v>2.0830000000000015E-2</v>
      </c>
      <c r="P111" s="37">
        <v>3</v>
      </c>
      <c r="Q111" s="37">
        <v>0.93903000000000003</v>
      </c>
      <c r="S111" s="37">
        <v>1.7039999999999944E-2</v>
      </c>
      <c r="T111" s="37">
        <v>3</v>
      </c>
      <c r="U111" s="37" t="s">
        <v>573</v>
      </c>
      <c r="V111" s="37">
        <v>0.1</v>
      </c>
      <c r="W111" s="37">
        <f t="shared" si="21"/>
        <v>0.1</v>
      </c>
      <c r="X111" s="37" t="str">
        <f t="shared" si="14"/>
        <v>Low</v>
      </c>
      <c r="Y111" s="37" t="s">
        <v>559</v>
      </c>
      <c r="Z111" s="37">
        <f t="shared" si="15"/>
        <v>-5.3850709207755969E-2</v>
      </c>
      <c r="AA111" s="37">
        <f t="shared" si="16"/>
        <v>1.8267220973754793E-4</v>
      </c>
      <c r="AB111" s="37">
        <f t="shared" si="17"/>
        <v>1.0976376405999725E-4</v>
      </c>
      <c r="AC111" s="37">
        <f t="shared" si="18"/>
        <v>2.9243597379754517E-4</v>
      </c>
      <c r="AD111" s="37" t="s">
        <v>566</v>
      </c>
      <c r="AF111" s="37" t="s">
        <v>244</v>
      </c>
    </row>
    <row r="112" spans="1:32" s="37" customFormat="1" ht="15.75" x14ac:dyDescent="0.2">
      <c r="A112" s="37">
        <v>111</v>
      </c>
      <c r="B112" s="37">
        <v>17</v>
      </c>
      <c r="C112" s="37" t="s">
        <v>572</v>
      </c>
      <c r="D112" s="37" t="s">
        <v>508</v>
      </c>
      <c r="E112" s="37" t="s">
        <v>556</v>
      </c>
      <c r="F112" s="37" t="s">
        <v>557</v>
      </c>
      <c r="G112" s="37" t="s">
        <v>521</v>
      </c>
      <c r="H112" s="37" t="s">
        <v>167</v>
      </c>
      <c r="I112" s="37" t="s">
        <v>173</v>
      </c>
      <c r="J112" s="37">
        <v>17</v>
      </c>
      <c r="K112" s="37" t="s">
        <v>526</v>
      </c>
      <c r="L112" s="37">
        <v>3</v>
      </c>
      <c r="M112" s="37">
        <v>0.75724000000000002</v>
      </c>
      <c r="O112" s="37">
        <v>1.7680000000000029E-2</v>
      </c>
      <c r="P112" s="37">
        <v>3</v>
      </c>
      <c r="Q112" s="37">
        <v>0.93903000000000003</v>
      </c>
      <c r="S112" s="37">
        <v>1.7039999999999944E-2</v>
      </c>
      <c r="T112" s="37">
        <v>3</v>
      </c>
      <c r="U112" s="37" t="s">
        <v>574</v>
      </c>
      <c r="V112" s="37">
        <v>1</v>
      </c>
      <c r="W112" s="37">
        <f t="shared" si="21"/>
        <v>1</v>
      </c>
      <c r="X112" s="37" t="str">
        <f t="shared" si="14"/>
        <v>Low</v>
      </c>
      <c r="Y112" s="37" t="s">
        <v>559</v>
      </c>
      <c r="Z112" s="37">
        <f t="shared" si="15"/>
        <v>-0.21516718343798824</v>
      </c>
      <c r="AA112" s="37">
        <f t="shared" si="16"/>
        <v>1.8170888898680465E-4</v>
      </c>
      <c r="AB112" s="37">
        <f t="shared" si="17"/>
        <v>1.0976376405999725E-4</v>
      </c>
      <c r="AC112" s="37">
        <f t="shared" si="18"/>
        <v>2.9147265304680189E-4</v>
      </c>
      <c r="AD112" s="37" t="s">
        <v>566</v>
      </c>
      <c r="AF112" s="37" t="s">
        <v>244</v>
      </c>
    </row>
    <row r="113" spans="1:32" s="37" customFormat="1" ht="15.75" x14ac:dyDescent="0.2">
      <c r="A113" s="37">
        <v>112</v>
      </c>
      <c r="B113" s="37">
        <v>17</v>
      </c>
      <c r="C113" s="37" t="s">
        <v>572</v>
      </c>
      <c r="D113" s="37" t="s">
        <v>508</v>
      </c>
      <c r="E113" s="37" t="s">
        <v>556</v>
      </c>
      <c r="F113" s="37" t="s">
        <v>557</v>
      </c>
      <c r="G113" s="37" t="s">
        <v>521</v>
      </c>
      <c r="H113" s="37" t="s">
        <v>167</v>
      </c>
      <c r="I113" s="37" t="s">
        <v>173</v>
      </c>
      <c r="J113" s="37">
        <v>17</v>
      </c>
      <c r="K113" s="37" t="s">
        <v>526</v>
      </c>
      <c r="L113" s="37">
        <v>3</v>
      </c>
      <c r="M113" s="37">
        <v>0.83425000000000005</v>
      </c>
      <c r="O113" s="37">
        <v>2.0829999999999904E-2</v>
      </c>
      <c r="P113" s="37">
        <v>3</v>
      </c>
      <c r="Q113" s="37">
        <v>0.93903000000000003</v>
      </c>
      <c r="S113" s="37">
        <v>1.7039999999999944E-2</v>
      </c>
      <c r="T113" s="37">
        <v>3</v>
      </c>
      <c r="U113" s="37" t="s">
        <v>573</v>
      </c>
      <c r="V113" s="37">
        <v>0.1</v>
      </c>
      <c r="W113" s="37">
        <f t="shared" si="21"/>
        <v>0.1</v>
      </c>
      <c r="X113" s="37" t="str">
        <f t="shared" si="14"/>
        <v>Low</v>
      </c>
      <c r="Y113" s="37" t="s">
        <v>559</v>
      </c>
      <c r="Z113" s="37">
        <f t="shared" si="15"/>
        <v>-0.11831430994821397</v>
      </c>
      <c r="AA113" s="37">
        <f t="shared" si="16"/>
        <v>2.0780924022232826E-4</v>
      </c>
      <c r="AB113" s="37">
        <f t="shared" si="17"/>
        <v>1.0976376405999725E-4</v>
      </c>
      <c r="AC113" s="37">
        <f t="shared" si="18"/>
        <v>3.175730042823255E-4</v>
      </c>
      <c r="AD113" s="37" t="s">
        <v>566</v>
      </c>
      <c r="AF113" s="37" t="s">
        <v>244</v>
      </c>
    </row>
    <row r="114" spans="1:32" s="37" customFormat="1" ht="15.75" x14ac:dyDescent="0.2">
      <c r="A114" s="37">
        <v>113</v>
      </c>
      <c r="B114" s="37">
        <v>17</v>
      </c>
      <c r="C114" s="37" t="s">
        <v>572</v>
      </c>
      <c r="D114" s="37" t="s">
        <v>508</v>
      </c>
      <c r="E114" s="37" t="s">
        <v>556</v>
      </c>
      <c r="F114" s="37" t="s">
        <v>557</v>
      </c>
      <c r="G114" s="37" t="s">
        <v>521</v>
      </c>
      <c r="H114" s="37" t="s">
        <v>167</v>
      </c>
      <c r="I114" s="37" t="s">
        <v>173</v>
      </c>
      <c r="J114" s="37">
        <v>17</v>
      </c>
      <c r="K114" s="37" t="s">
        <v>526</v>
      </c>
      <c r="L114" s="37">
        <v>3</v>
      </c>
      <c r="M114" s="37">
        <v>0.65310000000000001</v>
      </c>
      <c r="O114" s="37">
        <v>2.3980000000000001E-2</v>
      </c>
      <c r="P114" s="37">
        <v>3</v>
      </c>
      <c r="Q114" s="37">
        <v>0.93903000000000003</v>
      </c>
      <c r="S114" s="37">
        <v>1.7039999999999944E-2</v>
      </c>
      <c r="T114" s="37">
        <v>3</v>
      </c>
      <c r="U114" s="37" t="s">
        <v>574</v>
      </c>
      <c r="V114" s="37">
        <v>1</v>
      </c>
      <c r="W114" s="37">
        <f t="shared" si="21"/>
        <v>1</v>
      </c>
      <c r="X114" s="37" t="str">
        <f t="shared" si="14"/>
        <v>Low</v>
      </c>
      <c r="Y114" s="37" t="s">
        <v>559</v>
      </c>
      <c r="Z114" s="37">
        <f t="shared" si="15"/>
        <v>-0.3631171706710859</v>
      </c>
      <c r="AA114" s="37">
        <f t="shared" si="16"/>
        <v>4.4938413418001995E-4</v>
      </c>
      <c r="AB114" s="37">
        <f t="shared" si="17"/>
        <v>1.0976376405999725E-4</v>
      </c>
      <c r="AC114" s="37">
        <f t="shared" si="18"/>
        <v>5.5914789824001716E-4</v>
      </c>
      <c r="AD114" s="37" t="s">
        <v>566</v>
      </c>
      <c r="AF114" s="37" t="s">
        <v>244</v>
      </c>
    </row>
    <row r="115" spans="1:32" s="38" customFormat="1" ht="15.75" x14ac:dyDescent="0.2">
      <c r="A115" s="38">
        <v>114</v>
      </c>
      <c r="B115" s="38">
        <v>18</v>
      </c>
      <c r="C115" s="38" t="s">
        <v>583</v>
      </c>
      <c r="D115" s="38" t="s">
        <v>584</v>
      </c>
      <c r="E115" s="38" t="s">
        <v>587</v>
      </c>
      <c r="F115" s="38" t="s">
        <v>178</v>
      </c>
      <c r="G115" s="38" t="s">
        <v>168</v>
      </c>
      <c r="H115" s="38" t="s">
        <v>167</v>
      </c>
      <c r="I115" s="38" t="s">
        <v>173</v>
      </c>
      <c r="J115" s="38">
        <v>18</v>
      </c>
      <c r="K115" s="38" t="s">
        <v>595</v>
      </c>
      <c r="L115" s="38">
        <v>3</v>
      </c>
      <c r="M115" s="38">
        <v>4.5</v>
      </c>
      <c r="N115" s="38">
        <v>7.0000000000000007E-2</v>
      </c>
      <c r="O115" s="38">
        <f xml:space="preserve"> N115*SQRT(L115)</f>
        <v>0.12124355652982141</v>
      </c>
      <c r="P115" s="38">
        <v>3</v>
      </c>
      <c r="Q115" s="38">
        <v>4.4800000000000004</v>
      </c>
      <c r="R115" s="38">
        <v>0.26</v>
      </c>
      <c r="S115" s="38">
        <f xml:space="preserve"> R115*SQRT(P115)</f>
        <v>0.4503332099679081</v>
      </c>
      <c r="T115" s="38">
        <v>3</v>
      </c>
      <c r="U115" s="38" t="s">
        <v>590</v>
      </c>
      <c r="V115" s="38">
        <v>0.25</v>
      </c>
      <c r="W115" s="38">
        <f>(V115/1000)/(0.5/1000)</f>
        <v>0.5</v>
      </c>
      <c r="X115" s="38" t="str">
        <f t="shared" si="14"/>
        <v>Low</v>
      </c>
      <c r="Y115" s="38" t="s">
        <v>591</v>
      </c>
      <c r="Z115" s="38">
        <f t="shared" si="15"/>
        <v>4.4543503493801534E-3</v>
      </c>
      <c r="AA115" s="38">
        <f t="shared" si="16"/>
        <v>2.419753086419753E-4</v>
      </c>
      <c r="AB115" s="38">
        <f t="shared" si="17"/>
        <v>3.3681441326530613E-3</v>
      </c>
      <c r="AC115" s="38">
        <f t="shared" si="18"/>
        <v>3.6101194412950367E-3</v>
      </c>
      <c r="AD115" s="38" t="s">
        <v>212</v>
      </c>
      <c r="AF115" s="38" t="s">
        <v>592</v>
      </c>
    </row>
    <row r="116" spans="1:32" s="38" customFormat="1" ht="15.75" x14ac:dyDescent="0.2">
      <c r="A116" s="38">
        <v>115</v>
      </c>
      <c r="B116" s="38">
        <v>18</v>
      </c>
      <c r="C116" s="38" t="s">
        <v>583</v>
      </c>
      <c r="D116" s="38" t="s">
        <v>584</v>
      </c>
      <c r="E116" s="38" t="s">
        <v>587</v>
      </c>
      <c r="F116" s="38" t="s">
        <v>178</v>
      </c>
      <c r="G116" s="38" t="s">
        <v>168</v>
      </c>
      <c r="H116" s="38" t="s">
        <v>225</v>
      </c>
      <c r="I116" s="38" t="s">
        <v>173</v>
      </c>
      <c r="J116" s="38">
        <v>18</v>
      </c>
      <c r="K116" s="38" t="s">
        <v>595</v>
      </c>
      <c r="L116" s="38">
        <v>3</v>
      </c>
      <c r="M116" s="38">
        <v>1.61</v>
      </c>
      <c r="N116" s="38">
        <v>0.08</v>
      </c>
      <c r="O116" s="38">
        <f xml:space="preserve"> N116*SQRT(L116)</f>
        <v>0.13856406460551018</v>
      </c>
      <c r="P116" s="38">
        <v>3</v>
      </c>
      <c r="Q116" s="38">
        <v>1.92</v>
      </c>
      <c r="R116" s="38">
        <v>0.47</v>
      </c>
      <c r="S116" s="38">
        <f xml:space="preserve"> R116*SQRT(P116)</f>
        <v>0.81406387955737225</v>
      </c>
      <c r="T116" s="38">
        <v>3</v>
      </c>
      <c r="U116" s="38" t="s">
        <v>590</v>
      </c>
      <c r="V116" s="38">
        <v>0.25</v>
      </c>
      <c r="W116" s="38">
        <f>(V116/1000)/(0.5/1000)</f>
        <v>0.5</v>
      </c>
      <c r="X116" s="38" t="str">
        <f t="shared" si="14"/>
        <v>Low</v>
      </c>
      <c r="Y116" s="38" t="s">
        <v>591</v>
      </c>
      <c r="Z116" s="38">
        <f t="shared" si="15"/>
        <v>-0.17609100704331845</v>
      </c>
      <c r="AA116" s="38">
        <f t="shared" si="16"/>
        <v>2.4690405462752208E-3</v>
      </c>
      <c r="AB116" s="38">
        <f t="shared" si="17"/>
        <v>5.9922960069444427E-2</v>
      </c>
      <c r="AC116" s="38">
        <f t="shared" si="18"/>
        <v>6.2392000615719645E-2</v>
      </c>
      <c r="AD116" s="38" t="s">
        <v>212</v>
      </c>
      <c r="AF116" s="38" t="s">
        <v>170</v>
      </c>
    </row>
    <row r="117" spans="1:32" s="38" customFormat="1" ht="15.75" x14ac:dyDescent="0.2">
      <c r="A117" s="38">
        <v>116</v>
      </c>
      <c r="B117" s="38">
        <v>18</v>
      </c>
      <c r="C117" s="38" t="s">
        <v>583</v>
      </c>
      <c r="D117" s="38" t="s">
        <v>584</v>
      </c>
      <c r="E117" s="38" t="s">
        <v>587</v>
      </c>
      <c r="F117" s="38" t="s">
        <v>178</v>
      </c>
      <c r="G117" s="38" t="s">
        <v>168</v>
      </c>
      <c r="H117" s="38" t="s">
        <v>594</v>
      </c>
      <c r="I117" s="38" t="s">
        <v>173</v>
      </c>
      <c r="J117" s="38">
        <v>18</v>
      </c>
      <c r="K117" s="38" t="s">
        <v>595</v>
      </c>
      <c r="L117" s="38">
        <v>3</v>
      </c>
      <c r="M117" s="38">
        <v>0.28000000000000003</v>
      </c>
      <c r="N117" s="38">
        <v>0.04</v>
      </c>
      <c r="O117" s="38">
        <f xml:space="preserve"> N117*SQRT(L117)</f>
        <v>6.9282032302755092E-2</v>
      </c>
      <c r="P117" s="38">
        <v>3</v>
      </c>
      <c r="Q117" s="38">
        <v>0.28000000000000003</v>
      </c>
      <c r="R117" s="38">
        <v>0.01</v>
      </c>
      <c r="S117" s="38">
        <f xml:space="preserve"> R117*SQRT(P117)</f>
        <v>1.7320508075688773E-2</v>
      </c>
      <c r="T117" s="38">
        <v>3</v>
      </c>
      <c r="U117" s="38" t="s">
        <v>590</v>
      </c>
      <c r="V117" s="38">
        <v>0.25</v>
      </c>
      <c r="W117" s="38">
        <f>(V117/1000)/(0.5/1000)</f>
        <v>0.5</v>
      </c>
      <c r="X117" s="38" t="str">
        <f t="shared" si="14"/>
        <v>Low</v>
      </c>
      <c r="Y117" s="38" t="s">
        <v>591</v>
      </c>
      <c r="Z117" s="38">
        <f t="shared" si="15"/>
        <v>0</v>
      </c>
      <c r="AA117" s="38">
        <f t="shared" si="16"/>
        <v>2.0408163265306124E-2</v>
      </c>
      <c r="AB117" s="38">
        <f t="shared" si="17"/>
        <v>1.2755102040816328E-3</v>
      </c>
      <c r="AC117" s="38">
        <f t="shared" si="18"/>
        <v>2.1683673469387758E-2</v>
      </c>
      <c r="AD117" s="38" t="s">
        <v>212</v>
      </c>
      <c r="AF117" s="38" t="s">
        <v>170</v>
      </c>
    </row>
    <row r="118" spans="1:32" s="40" customFormat="1" ht="15.75" x14ac:dyDescent="0.2">
      <c r="A118" s="40">
        <v>117</v>
      </c>
      <c r="B118" s="40">
        <v>19</v>
      </c>
      <c r="C118" s="40" t="s">
        <v>615</v>
      </c>
      <c r="D118" s="40" t="s">
        <v>616</v>
      </c>
      <c r="E118" s="40" t="s">
        <v>617</v>
      </c>
      <c r="F118" s="40" t="s">
        <v>598</v>
      </c>
      <c r="G118" s="40" t="s">
        <v>593</v>
      </c>
      <c r="H118" s="40" t="s">
        <v>625</v>
      </c>
      <c r="I118" s="40" t="s">
        <v>173</v>
      </c>
      <c r="J118" s="40">
        <v>19</v>
      </c>
      <c r="K118" s="40" t="s">
        <v>624</v>
      </c>
      <c r="L118" s="40">
        <v>4</v>
      </c>
      <c r="M118" s="40">
        <v>0.59123999999999999</v>
      </c>
      <c r="O118" s="40">
        <v>2.2889999999999966E-2</v>
      </c>
      <c r="P118" s="40">
        <v>4</v>
      </c>
      <c r="Q118" s="40">
        <v>0.66227000000000003</v>
      </c>
      <c r="S118" s="40">
        <v>3.9329999999999976E-2</v>
      </c>
      <c r="T118" s="40">
        <v>4</v>
      </c>
      <c r="U118" s="40" t="s">
        <v>619</v>
      </c>
      <c r="V118" s="40">
        <v>150</v>
      </c>
      <c r="W118" s="40">
        <f>V118 / 1000</f>
        <v>0.15</v>
      </c>
      <c r="X118" s="40" t="str">
        <f t="shared" si="14"/>
        <v>Low</v>
      </c>
      <c r="Y118" s="40" t="s">
        <v>618</v>
      </c>
      <c r="Z118" s="40">
        <f t="shared" si="15"/>
        <v>-0.11345130142779417</v>
      </c>
      <c r="AA118" s="40">
        <f t="shared" si="16"/>
        <v>3.7471750125404987E-4</v>
      </c>
      <c r="AB118" s="40">
        <f t="shared" si="17"/>
        <v>8.816936977151307E-4</v>
      </c>
      <c r="AC118" s="40">
        <f t="shared" si="18"/>
        <v>1.2564111989691806E-3</v>
      </c>
      <c r="AD118" s="40" t="s">
        <v>623</v>
      </c>
      <c r="AF118" s="40" t="s">
        <v>170</v>
      </c>
    </row>
    <row r="119" spans="1:32" s="40" customFormat="1" ht="15.75" x14ac:dyDescent="0.2">
      <c r="A119" s="40">
        <v>118</v>
      </c>
      <c r="B119" s="40">
        <v>19</v>
      </c>
      <c r="C119" s="40" t="s">
        <v>615</v>
      </c>
      <c r="D119" s="40" t="s">
        <v>616</v>
      </c>
      <c r="E119" s="40" t="s">
        <v>617</v>
      </c>
      <c r="F119" s="40" t="s">
        <v>598</v>
      </c>
      <c r="G119" s="40" t="s">
        <v>593</v>
      </c>
      <c r="H119" s="40" t="s">
        <v>625</v>
      </c>
      <c r="I119" s="40" t="s">
        <v>173</v>
      </c>
      <c r="J119" s="40">
        <v>19</v>
      </c>
      <c r="K119" s="40" t="s">
        <v>624</v>
      </c>
      <c r="L119" s="40">
        <v>4</v>
      </c>
      <c r="M119" s="40">
        <v>0.63644000000000001</v>
      </c>
      <c r="O119" s="40">
        <v>2.9349999999999987E-2</v>
      </c>
      <c r="P119" s="40">
        <v>4</v>
      </c>
      <c r="Q119" s="40">
        <v>0.66227000000000003</v>
      </c>
      <c r="S119" s="40">
        <v>3.9329999999999976E-2</v>
      </c>
      <c r="T119" s="40">
        <v>4</v>
      </c>
      <c r="U119" s="40" t="s">
        <v>620</v>
      </c>
      <c r="V119" s="40">
        <v>250</v>
      </c>
      <c r="W119" s="40">
        <f t="shared" ref="W119:W133" si="22">V119 / 1000</f>
        <v>0.25</v>
      </c>
      <c r="X119" s="40" t="str">
        <f t="shared" si="14"/>
        <v>Low</v>
      </c>
      <c r="Y119" s="40" t="s">
        <v>618</v>
      </c>
      <c r="Z119" s="40">
        <f t="shared" si="15"/>
        <v>-3.9783179732010426E-2</v>
      </c>
      <c r="AA119" s="40">
        <f t="shared" si="16"/>
        <v>5.3166893516687374E-4</v>
      </c>
      <c r="AB119" s="40">
        <f t="shared" si="17"/>
        <v>8.816936977151307E-4</v>
      </c>
      <c r="AC119" s="40">
        <f t="shared" si="18"/>
        <v>1.4133626328820044E-3</v>
      </c>
      <c r="AD119" s="40" t="s">
        <v>623</v>
      </c>
      <c r="AF119" s="40" t="s">
        <v>170</v>
      </c>
    </row>
    <row r="120" spans="1:32" s="40" customFormat="1" ht="15.75" x14ac:dyDescent="0.2">
      <c r="A120" s="40">
        <v>119</v>
      </c>
      <c r="B120" s="40">
        <v>19</v>
      </c>
      <c r="C120" s="40" t="s">
        <v>615</v>
      </c>
      <c r="D120" s="40" t="s">
        <v>616</v>
      </c>
      <c r="E120" s="40" t="s">
        <v>617</v>
      </c>
      <c r="F120" s="40" t="s">
        <v>598</v>
      </c>
      <c r="G120" s="40" t="s">
        <v>593</v>
      </c>
      <c r="H120" s="40" t="s">
        <v>625</v>
      </c>
      <c r="I120" s="40" t="s">
        <v>173</v>
      </c>
      <c r="J120" s="40">
        <v>19</v>
      </c>
      <c r="K120" s="40" t="s">
        <v>624</v>
      </c>
      <c r="L120" s="40">
        <v>4</v>
      </c>
      <c r="M120" s="40">
        <v>0.55896000000000001</v>
      </c>
      <c r="O120" s="40">
        <v>2.5819999999999954E-2</v>
      </c>
      <c r="P120" s="40">
        <v>4</v>
      </c>
      <c r="Q120" s="40">
        <v>0.66227000000000003</v>
      </c>
      <c r="S120" s="40">
        <v>3.9329999999999976E-2</v>
      </c>
      <c r="T120" s="40">
        <v>4</v>
      </c>
      <c r="U120" s="40" t="s">
        <v>621</v>
      </c>
      <c r="V120" s="40">
        <v>500</v>
      </c>
      <c r="W120" s="40">
        <f t="shared" si="22"/>
        <v>0.5</v>
      </c>
      <c r="X120" s="40" t="str">
        <f t="shared" si="14"/>
        <v>Low</v>
      </c>
      <c r="Y120" s="40" t="s">
        <v>618</v>
      </c>
      <c r="Z120" s="40">
        <f t="shared" si="15"/>
        <v>-0.16959541352747093</v>
      </c>
      <c r="AA120" s="40">
        <f t="shared" si="16"/>
        <v>5.334466891824621E-4</v>
      </c>
      <c r="AB120" s="40">
        <f t="shared" si="17"/>
        <v>8.816936977151307E-4</v>
      </c>
      <c r="AC120" s="40">
        <f t="shared" si="18"/>
        <v>1.4151403868975928E-3</v>
      </c>
      <c r="AD120" s="40" t="s">
        <v>623</v>
      </c>
      <c r="AF120" s="40" t="s">
        <v>170</v>
      </c>
    </row>
    <row r="121" spans="1:32" s="40" customFormat="1" ht="15.75" x14ac:dyDescent="0.2">
      <c r="A121" s="40">
        <v>120</v>
      </c>
      <c r="B121" s="40">
        <v>19</v>
      </c>
      <c r="C121" s="40" t="s">
        <v>615</v>
      </c>
      <c r="D121" s="40" t="s">
        <v>616</v>
      </c>
      <c r="E121" s="40" t="s">
        <v>617</v>
      </c>
      <c r="F121" s="40" t="s">
        <v>598</v>
      </c>
      <c r="G121" s="40" t="s">
        <v>593</v>
      </c>
      <c r="H121" s="40" t="s">
        <v>625</v>
      </c>
      <c r="I121" s="40" t="s">
        <v>173</v>
      </c>
      <c r="J121" s="40">
        <v>19</v>
      </c>
      <c r="K121" s="40" t="s">
        <v>624</v>
      </c>
      <c r="L121" s="40">
        <v>4</v>
      </c>
      <c r="M121" s="40">
        <v>0.47736000000000001</v>
      </c>
      <c r="O121" s="40">
        <v>3.9329999999999976E-2</v>
      </c>
      <c r="P121" s="40">
        <v>4</v>
      </c>
      <c r="Q121" s="40">
        <v>0.66227000000000003</v>
      </c>
      <c r="S121" s="40">
        <v>3.9329999999999976E-2</v>
      </c>
      <c r="T121" s="40">
        <v>4</v>
      </c>
      <c r="U121" s="40" t="s">
        <v>622</v>
      </c>
      <c r="V121" s="40">
        <v>1000</v>
      </c>
      <c r="W121" s="40">
        <f t="shared" si="22"/>
        <v>1</v>
      </c>
      <c r="X121" s="40" t="str">
        <f t="shared" si="14"/>
        <v>Low</v>
      </c>
      <c r="Y121" s="40" t="s">
        <v>618</v>
      </c>
      <c r="Z121" s="40">
        <f t="shared" si="15"/>
        <v>-0.3274024045578397</v>
      </c>
      <c r="AA121" s="40">
        <f t="shared" si="16"/>
        <v>1.6970547428276311E-3</v>
      </c>
      <c r="AB121" s="40">
        <f t="shared" si="17"/>
        <v>8.816936977151307E-4</v>
      </c>
      <c r="AC121" s="40">
        <f t="shared" si="18"/>
        <v>2.5787484405427616E-3</v>
      </c>
      <c r="AD121" s="40" t="s">
        <v>623</v>
      </c>
      <c r="AF121" s="40" t="s">
        <v>170</v>
      </c>
    </row>
    <row r="122" spans="1:32" s="40" customFormat="1" ht="15.75" x14ac:dyDescent="0.2">
      <c r="A122" s="40">
        <v>121</v>
      </c>
      <c r="B122" s="40">
        <v>19</v>
      </c>
      <c r="C122" s="40" t="s">
        <v>615</v>
      </c>
      <c r="D122" s="40" t="s">
        <v>616</v>
      </c>
      <c r="E122" s="40" t="s">
        <v>617</v>
      </c>
      <c r="F122" s="40" t="s">
        <v>598</v>
      </c>
      <c r="G122" s="40" t="s">
        <v>593</v>
      </c>
      <c r="H122" s="40" t="s">
        <v>625</v>
      </c>
      <c r="I122" s="40" t="s">
        <v>173</v>
      </c>
      <c r="J122" s="40">
        <v>19</v>
      </c>
      <c r="K122" s="40" t="s">
        <v>624</v>
      </c>
      <c r="L122" s="40">
        <v>4</v>
      </c>
      <c r="M122" s="40">
        <v>11.933249999999999</v>
      </c>
      <c r="O122" s="40">
        <v>0.36321000000000048</v>
      </c>
      <c r="P122" s="40">
        <v>4</v>
      </c>
      <c r="Q122" s="40">
        <v>12.17539</v>
      </c>
      <c r="S122" s="40">
        <v>0.42924000000000007</v>
      </c>
      <c r="T122" s="40">
        <v>4</v>
      </c>
      <c r="U122" s="40" t="s">
        <v>619</v>
      </c>
      <c r="V122" s="40">
        <v>150</v>
      </c>
      <c r="W122" s="40">
        <f t="shared" si="22"/>
        <v>0.15</v>
      </c>
      <c r="X122" s="40" t="str">
        <f t="shared" si="14"/>
        <v>Low</v>
      </c>
      <c r="Y122" s="40" t="s">
        <v>618</v>
      </c>
      <c r="Z122" s="40">
        <f t="shared" si="15"/>
        <v>-2.0088079835883579E-2</v>
      </c>
      <c r="AA122" s="40">
        <f t="shared" si="16"/>
        <v>2.3159977048657773E-4</v>
      </c>
      <c r="AB122" s="40">
        <f t="shared" si="17"/>
        <v>3.1072387074870892E-4</v>
      </c>
      <c r="AC122" s="40">
        <f t="shared" si="18"/>
        <v>5.4232364123528659E-4</v>
      </c>
      <c r="AD122" s="40" t="s">
        <v>623</v>
      </c>
      <c r="AF122" s="40" t="s">
        <v>244</v>
      </c>
    </row>
    <row r="123" spans="1:32" s="40" customFormat="1" ht="15.75" x14ac:dyDescent="0.2">
      <c r="A123" s="40">
        <v>122</v>
      </c>
      <c r="B123" s="40">
        <v>19</v>
      </c>
      <c r="C123" s="40" t="s">
        <v>615</v>
      </c>
      <c r="D123" s="40" t="s">
        <v>616</v>
      </c>
      <c r="E123" s="40" t="s">
        <v>617</v>
      </c>
      <c r="F123" s="40" t="s">
        <v>598</v>
      </c>
      <c r="G123" s="40" t="s">
        <v>593</v>
      </c>
      <c r="H123" s="40" t="s">
        <v>625</v>
      </c>
      <c r="I123" s="40" t="s">
        <v>173</v>
      </c>
      <c r="J123" s="40">
        <v>19</v>
      </c>
      <c r="K123" s="40" t="s">
        <v>624</v>
      </c>
      <c r="L123" s="40">
        <v>4</v>
      </c>
      <c r="M123" s="40">
        <v>11.812189999999999</v>
      </c>
      <c r="O123" s="40">
        <v>0.36320000000000086</v>
      </c>
      <c r="P123" s="40">
        <v>4</v>
      </c>
      <c r="Q123" s="40">
        <v>12.17539</v>
      </c>
      <c r="S123" s="40">
        <v>0.42924000000000007</v>
      </c>
      <c r="T123" s="40">
        <v>4</v>
      </c>
      <c r="U123" s="40" t="s">
        <v>620</v>
      </c>
      <c r="V123" s="40">
        <v>250</v>
      </c>
      <c r="W123" s="40">
        <f t="shared" si="22"/>
        <v>0.25</v>
      </c>
      <c r="X123" s="40" t="str">
        <f t="shared" si="14"/>
        <v>Low</v>
      </c>
      <c r="Y123" s="40" t="s">
        <v>618</v>
      </c>
      <c r="Z123" s="40">
        <f t="shared" si="15"/>
        <v>-3.0284652220568073E-2</v>
      </c>
      <c r="AA123" s="40">
        <f t="shared" si="16"/>
        <v>2.3635829057465024E-4</v>
      </c>
      <c r="AB123" s="40">
        <f t="shared" si="17"/>
        <v>3.1072387074870892E-4</v>
      </c>
      <c r="AC123" s="40">
        <f t="shared" si="18"/>
        <v>5.4708216132335914E-4</v>
      </c>
      <c r="AD123" s="40" t="s">
        <v>623</v>
      </c>
      <c r="AF123" s="40" t="s">
        <v>244</v>
      </c>
    </row>
    <row r="124" spans="1:32" s="40" customFormat="1" ht="15.75" x14ac:dyDescent="0.2">
      <c r="A124" s="40">
        <v>123</v>
      </c>
      <c r="B124" s="40">
        <v>19</v>
      </c>
      <c r="C124" s="40" t="s">
        <v>615</v>
      </c>
      <c r="D124" s="40" t="s">
        <v>616</v>
      </c>
      <c r="E124" s="40" t="s">
        <v>617</v>
      </c>
      <c r="F124" s="40" t="s">
        <v>598</v>
      </c>
      <c r="G124" s="40" t="s">
        <v>593</v>
      </c>
      <c r="H124" s="40" t="s">
        <v>625</v>
      </c>
      <c r="I124" s="40" t="s">
        <v>173</v>
      </c>
      <c r="J124" s="40">
        <v>19</v>
      </c>
      <c r="K124" s="40" t="s">
        <v>624</v>
      </c>
      <c r="L124" s="40">
        <v>4</v>
      </c>
      <c r="M124" s="40">
        <v>11.99929</v>
      </c>
      <c r="O124" s="40">
        <v>0.24213999999999913</v>
      </c>
      <c r="P124" s="40">
        <v>4</v>
      </c>
      <c r="Q124" s="40">
        <v>12.17539</v>
      </c>
      <c r="S124" s="40">
        <v>0.42924000000000007</v>
      </c>
      <c r="T124" s="40">
        <v>4</v>
      </c>
      <c r="U124" s="40" t="s">
        <v>621</v>
      </c>
      <c r="V124" s="40">
        <v>500</v>
      </c>
      <c r="W124" s="40">
        <f t="shared" si="22"/>
        <v>0.5</v>
      </c>
      <c r="X124" s="40" t="str">
        <f t="shared" si="14"/>
        <v>Low</v>
      </c>
      <c r="Y124" s="40" t="s">
        <v>618</v>
      </c>
      <c r="Z124" s="40">
        <f t="shared" si="15"/>
        <v>-1.4569219938904674E-2</v>
      </c>
      <c r="AA124" s="40">
        <f t="shared" si="16"/>
        <v>1.0180333039882523E-4</v>
      </c>
      <c r="AB124" s="40">
        <f t="shared" si="17"/>
        <v>3.1072387074870892E-4</v>
      </c>
      <c r="AC124" s="40">
        <f t="shared" si="18"/>
        <v>4.1252720114753417E-4</v>
      </c>
      <c r="AD124" s="40" t="s">
        <v>623</v>
      </c>
      <c r="AF124" s="40" t="s">
        <v>244</v>
      </c>
    </row>
    <row r="125" spans="1:32" s="40" customFormat="1" ht="15.75" x14ac:dyDescent="0.2">
      <c r="A125" s="40">
        <v>124</v>
      </c>
      <c r="B125" s="40">
        <v>19</v>
      </c>
      <c r="C125" s="40" t="s">
        <v>615</v>
      </c>
      <c r="D125" s="40" t="s">
        <v>616</v>
      </c>
      <c r="E125" s="40" t="s">
        <v>617</v>
      </c>
      <c r="F125" s="40" t="s">
        <v>598</v>
      </c>
      <c r="G125" s="40" t="s">
        <v>593</v>
      </c>
      <c r="H125" s="40" t="s">
        <v>625</v>
      </c>
      <c r="I125" s="40" t="s">
        <v>173</v>
      </c>
      <c r="J125" s="40">
        <v>19</v>
      </c>
      <c r="K125" s="40" t="s">
        <v>624</v>
      </c>
      <c r="L125" s="40">
        <v>4</v>
      </c>
      <c r="M125" s="40">
        <v>11.327909999999999</v>
      </c>
      <c r="O125" s="40">
        <v>0.18711000000000055</v>
      </c>
      <c r="P125" s="40">
        <v>4</v>
      </c>
      <c r="Q125" s="40">
        <v>12.17539</v>
      </c>
      <c r="S125" s="40">
        <v>0.42924000000000007</v>
      </c>
      <c r="T125" s="40">
        <v>4</v>
      </c>
      <c r="U125" s="40" t="s">
        <v>622</v>
      </c>
      <c r="V125" s="40">
        <v>1000</v>
      </c>
      <c r="W125" s="40">
        <f t="shared" si="22"/>
        <v>1</v>
      </c>
      <c r="X125" s="40" t="str">
        <f t="shared" si="14"/>
        <v>Low</v>
      </c>
      <c r="Y125" s="40" t="s">
        <v>618</v>
      </c>
      <c r="Z125" s="40">
        <f t="shared" si="15"/>
        <v>-7.2147109305273405E-2</v>
      </c>
      <c r="AA125" s="40">
        <f t="shared" si="16"/>
        <v>6.8207860396131328E-5</v>
      </c>
      <c r="AB125" s="40">
        <f t="shared" si="17"/>
        <v>3.1072387074870892E-4</v>
      </c>
      <c r="AC125" s="40">
        <f t="shared" si="18"/>
        <v>3.7893173114484025E-4</v>
      </c>
      <c r="AD125" s="40" t="s">
        <v>623</v>
      </c>
      <c r="AF125" s="40" t="s">
        <v>244</v>
      </c>
    </row>
    <row r="126" spans="1:32" s="40" customFormat="1" ht="15.75" x14ac:dyDescent="0.2">
      <c r="A126" s="40">
        <v>125</v>
      </c>
      <c r="B126" s="40">
        <v>19</v>
      </c>
      <c r="C126" s="40" t="s">
        <v>615</v>
      </c>
      <c r="D126" s="40" t="s">
        <v>616</v>
      </c>
      <c r="E126" s="40" t="s">
        <v>617</v>
      </c>
      <c r="F126" s="40" t="s">
        <v>598</v>
      </c>
      <c r="G126" s="40" t="s">
        <v>593</v>
      </c>
      <c r="H126" s="40" t="s">
        <v>625</v>
      </c>
      <c r="I126" s="40" t="s">
        <v>173</v>
      </c>
      <c r="J126" s="40">
        <v>19</v>
      </c>
      <c r="K126" s="40" t="s">
        <v>624</v>
      </c>
      <c r="L126" s="40">
        <v>4</v>
      </c>
      <c r="M126" s="40">
        <v>0.72484999999999999</v>
      </c>
      <c r="O126" s="40">
        <v>7.4649999999999994E-2</v>
      </c>
      <c r="P126" s="40">
        <v>4</v>
      </c>
      <c r="Q126" s="40">
        <v>0.69357000000000002</v>
      </c>
      <c r="S126" s="40">
        <v>3.5549999999999971E-2</v>
      </c>
      <c r="T126" s="40">
        <v>4</v>
      </c>
      <c r="U126" s="40" t="s">
        <v>619</v>
      </c>
      <c r="V126" s="40">
        <v>150</v>
      </c>
      <c r="W126" s="40">
        <f t="shared" si="22"/>
        <v>0.15</v>
      </c>
      <c r="X126" s="40" t="str">
        <f t="shared" si="14"/>
        <v>Low</v>
      </c>
      <c r="Y126" s="40" t="s">
        <v>618</v>
      </c>
      <c r="Z126" s="40">
        <f t="shared" si="15"/>
        <v>4.4112564961150541E-2</v>
      </c>
      <c r="AA126" s="40">
        <f t="shared" si="16"/>
        <v>2.6515715237023464E-3</v>
      </c>
      <c r="AB126" s="40">
        <f t="shared" si="17"/>
        <v>6.568082805486114E-4</v>
      </c>
      <c r="AC126" s="40">
        <f t="shared" si="18"/>
        <v>3.3083798042509577E-3</v>
      </c>
      <c r="AD126" s="40" t="s">
        <v>623</v>
      </c>
      <c r="AF126" s="40" t="s">
        <v>170</v>
      </c>
    </row>
    <row r="127" spans="1:32" s="40" customFormat="1" ht="15.75" x14ac:dyDescent="0.2">
      <c r="A127" s="40">
        <v>126</v>
      </c>
      <c r="B127" s="40">
        <v>19</v>
      </c>
      <c r="C127" s="40" t="s">
        <v>615</v>
      </c>
      <c r="D127" s="40" t="s">
        <v>616</v>
      </c>
      <c r="E127" s="40" t="s">
        <v>617</v>
      </c>
      <c r="F127" s="40" t="s">
        <v>598</v>
      </c>
      <c r="G127" s="40" t="s">
        <v>593</v>
      </c>
      <c r="H127" s="40" t="s">
        <v>625</v>
      </c>
      <c r="I127" s="40" t="s">
        <v>173</v>
      </c>
      <c r="J127" s="40">
        <v>19</v>
      </c>
      <c r="K127" s="40" t="s">
        <v>624</v>
      </c>
      <c r="L127" s="40">
        <v>4</v>
      </c>
      <c r="M127" s="40">
        <v>0.78813</v>
      </c>
      <c r="O127" s="40">
        <v>8.6019999999999985E-2</v>
      </c>
      <c r="P127" s="40">
        <v>4</v>
      </c>
      <c r="Q127" s="40">
        <v>0.69357000000000002</v>
      </c>
      <c r="S127" s="40">
        <v>3.5549999999999971E-2</v>
      </c>
      <c r="T127" s="40">
        <v>4</v>
      </c>
      <c r="U127" s="40" t="s">
        <v>620</v>
      </c>
      <c r="V127" s="40">
        <v>250</v>
      </c>
      <c r="W127" s="40">
        <f t="shared" si="22"/>
        <v>0.25</v>
      </c>
      <c r="X127" s="40" t="str">
        <f t="shared" si="14"/>
        <v>Low</v>
      </c>
      <c r="Y127" s="40" t="s">
        <v>618</v>
      </c>
      <c r="Z127" s="40">
        <f t="shared" si="15"/>
        <v>0.12781087893459656</v>
      </c>
      <c r="AA127" s="40">
        <f t="shared" si="16"/>
        <v>2.9781266766023286E-3</v>
      </c>
      <c r="AB127" s="40">
        <f t="shared" si="17"/>
        <v>6.568082805486114E-4</v>
      </c>
      <c r="AC127" s="40">
        <f t="shared" si="18"/>
        <v>3.6349349571509399E-3</v>
      </c>
      <c r="AD127" s="40" t="s">
        <v>623</v>
      </c>
      <c r="AF127" s="40" t="s">
        <v>170</v>
      </c>
    </row>
    <row r="128" spans="1:32" s="40" customFormat="1" ht="15.75" x14ac:dyDescent="0.2">
      <c r="A128" s="40">
        <v>127</v>
      </c>
      <c r="B128" s="40">
        <v>19</v>
      </c>
      <c r="C128" s="40" t="s">
        <v>615</v>
      </c>
      <c r="D128" s="40" t="s">
        <v>616</v>
      </c>
      <c r="E128" s="40" t="s">
        <v>617</v>
      </c>
      <c r="F128" s="40" t="s">
        <v>598</v>
      </c>
      <c r="G128" s="40" t="s">
        <v>593</v>
      </c>
      <c r="H128" s="40" t="s">
        <v>625</v>
      </c>
      <c r="I128" s="40" t="s">
        <v>173</v>
      </c>
      <c r="J128" s="40">
        <v>19</v>
      </c>
      <c r="K128" s="40" t="s">
        <v>624</v>
      </c>
      <c r="L128" s="40">
        <v>4</v>
      </c>
      <c r="M128" s="40">
        <v>0.80732000000000004</v>
      </c>
      <c r="O128" s="40">
        <v>0.11019999999999996</v>
      </c>
      <c r="P128" s="40">
        <v>4</v>
      </c>
      <c r="Q128" s="40">
        <v>0.69357000000000002</v>
      </c>
      <c r="S128" s="40">
        <v>3.5549999999999971E-2</v>
      </c>
      <c r="T128" s="40">
        <v>4</v>
      </c>
      <c r="U128" s="40" t="s">
        <v>621</v>
      </c>
      <c r="V128" s="40">
        <v>500</v>
      </c>
      <c r="W128" s="40">
        <f t="shared" si="22"/>
        <v>0.5</v>
      </c>
      <c r="X128" s="40" t="str">
        <f t="shared" si="14"/>
        <v>Low</v>
      </c>
      <c r="Y128" s="40" t="s">
        <v>618</v>
      </c>
      <c r="Z128" s="40">
        <f t="shared" si="15"/>
        <v>0.15186794809616233</v>
      </c>
      <c r="AA128" s="40">
        <f t="shared" si="16"/>
        <v>4.6581318222120313E-3</v>
      </c>
      <c r="AB128" s="40">
        <f t="shared" si="17"/>
        <v>6.568082805486114E-4</v>
      </c>
      <c r="AC128" s="40">
        <f t="shared" si="18"/>
        <v>5.3149401027606426E-3</v>
      </c>
      <c r="AD128" s="40" t="s">
        <v>623</v>
      </c>
      <c r="AF128" s="40" t="s">
        <v>170</v>
      </c>
    </row>
    <row r="129" spans="1:32" s="40" customFormat="1" ht="15.75" x14ac:dyDescent="0.2">
      <c r="A129" s="40">
        <v>128</v>
      </c>
      <c r="B129" s="40">
        <v>19</v>
      </c>
      <c r="C129" s="40" t="s">
        <v>615</v>
      </c>
      <c r="D129" s="40" t="s">
        <v>616</v>
      </c>
      <c r="E129" s="40" t="s">
        <v>617</v>
      </c>
      <c r="F129" s="40" t="s">
        <v>598</v>
      </c>
      <c r="G129" s="40" t="s">
        <v>593</v>
      </c>
      <c r="H129" s="40" t="s">
        <v>625</v>
      </c>
      <c r="I129" s="40" t="s">
        <v>173</v>
      </c>
      <c r="J129" s="40">
        <v>19</v>
      </c>
      <c r="K129" s="40" t="s">
        <v>624</v>
      </c>
      <c r="L129" s="40">
        <v>4</v>
      </c>
      <c r="M129" s="40">
        <v>0.66654999999999998</v>
      </c>
      <c r="O129" s="40">
        <v>3.4839999999999982E-2</v>
      </c>
      <c r="P129" s="40">
        <v>4</v>
      </c>
      <c r="Q129" s="40">
        <v>0.69357000000000002</v>
      </c>
      <c r="S129" s="40">
        <v>3.5549999999999971E-2</v>
      </c>
      <c r="T129" s="40">
        <v>4</v>
      </c>
      <c r="U129" s="40" t="s">
        <v>622</v>
      </c>
      <c r="V129" s="40">
        <v>1000</v>
      </c>
      <c r="W129" s="40">
        <f t="shared" si="22"/>
        <v>1</v>
      </c>
      <c r="X129" s="40" t="str">
        <f t="shared" si="14"/>
        <v>Low</v>
      </c>
      <c r="Y129" s="40" t="s">
        <v>618</v>
      </c>
      <c r="Z129" s="40">
        <f t="shared" si="15"/>
        <v>-3.9737016376069953E-2</v>
      </c>
      <c r="AA129" s="40">
        <f t="shared" si="16"/>
        <v>6.8301593465976726E-4</v>
      </c>
      <c r="AB129" s="40">
        <f t="shared" si="17"/>
        <v>6.568082805486114E-4</v>
      </c>
      <c r="AC129" s="40">
        <f t="shared" si="18"/>
        <v>1.3398242152083788E-3</v>
      </c>
      <c r="AD129" s="40" t="s">
        <v>623</v>
      </c>
      <c r="AF129" s="40" t="s">
        <v>170</v>
      </c>
    </row>
    <row r="130" spans="1:32" s="40" customFormat="1" ht="15.75" x14ac:dyDescent="0.2">
      <c r="A130" s="40">
        <v>129</v>
      </c>
      <c r="B130" s="40">
        <v>19</v>
      </c>
      <c r="C130" s="40" t="s">
        <v>615</v>
      </c>
      <c r="D130" s="40" t="s">
        <v>616</v>
      </c>
      <c r="E130" s="40" t="s">
        <v>617</v>
      </c>
      <c r="F130" s="40" t="s">
        <v>598</v>
      </c>
      <c r="G130" s="40" t="s">
        <v>593</v>
      </c>
      <c r="H130" s="40" t="s">
        <v>625</v>
      </c>
      <c r="I130" s="40" t="s">
        <v>173</v>
      </c>
      <c r="J130" s="40">
        <v>19</v>
      </c>
      <c r="K130" s="40" t="s">
        <v>624</v>
      </c>
      <c r="L130" s="40">
        <v>4</v>
      </c>
      <c r="M130" s="40">
        <v>13.05893</v>
      </c>
      <c r="O130" s="40">
        <v>0.4159000000000006</v>
      </c>
      <c r="P130" s="40">
        <v>4</v>
      </c>
      <c r="Q130" s="40">
        <v>13.17624</v>
      </c>
      <c r="S130" s="40">
        <v>0.4159000000000006</v>
      </c>
      <c r="T130" s="40">
        <v>4</v>
      </c>
      <c r="U130" s="40" t="s">
        <v>619</v>
      </c>
      <c r="V130" s="40">
        <v>150</v>
      </c>
      <c r="W130" s="40">
        <f t="shared" si="22"/>
        <v>0.15</v>
      </c>
      <c r="X130" s="40" t="str">
        <f t="shared" si="14"/>
        <v>Low</v>
      </c>
      <c r="Y130" s="40" t="s">
        <v>618</v>
      </c>
      <c r="Z130" s="40">
        <f t="shared" si="15"/>
        <v>-8.9430167097171755E-3</v>
      </c>
      <c r="AA130" s="40">
        <f t="shared" si="16"/>
        <v>2.5357279726537034E-4</v>
      </c>
      <c r="AB130" s="40">
        <f t="shared" si="17"/>
        <v>2.4907770525700481E-4</v>
      </c>
      <c r="AC130" s="40">
        <f t="shared" si="18"/>
        <v>5.0265050252237516E-4</v>
      </c>
      <c r="AD130" s="40" t="s">
        <v>623</v>
      </c>
      <c r="AF130" s="40" t="s">
        <v>244</v>
      </c>
    </row>
    <row r="131" spans="1:32" s="40" customFormat="1" ht="15.75" x14ac:dyDescent="0.2">
      <c r="A131" s="40">
        <v>130</v>
      </c>
      <c r="B131" s="40">
        <v>19</v>
      </c>
      <c r="C131" s="40" t="s">
        <v>615</v>
      </c>
      <c r="D131" s="40" t="s">
        <v>616</v>
      </c>
      <c r="E131" s="40" t="s">
        <v>617</v>
      </c>
      <c r="F131" s="40" t="s">
        <v>598</v>
      </c>
      <c r="G131" s="40" t="s">
        <v>593</v>
      </c>
      <c r="H131" s="40" t="s">
        <v>625</v>
      </c>
      <c r="I131" s="40" t="s">
        <v>173</v>
      </c>
      <c r="J131" s="40">
        <v>19</v>
      </c>
      <c r="K131" s="40" t="s">
        <v>624</v>
      </c>
      <c r="L131" s="40">
        <v>4</v>
      </c>
      <c r="M131" s="40">
        <v>13.826750000000001</v>
      </c>
      <c r="O131" s="40">
        <v>0.35191999999999979</v>
      </c>
      <c r="P131" s="40">
        <v>4</v>
      </c>
      <c r="Q131" s="40">
        <v>13.17624</v>
      </c>
      <c r="S131" s="40">
        <v>0.4159000000000006</v>
      </c>
      <c r="T131" s="40">
        <v>4</v>
      </c>
      <c r="U131" s="40" t="s">
        <v>620</v>
      </c>
      <c r="V131" s="40">
        <v>250</v>
      </c>
      <c r="W131" s="40">
        <f t="shared" si="22"/>
        <v>0.25</v>
      </c>
      <c r="X131" s="40" t="str">
        <f t="shared" ref="X131:X139" si="23">IF(W131&lt;=1, "Low", IF(W131&lt;10, "Medium", "High"))</f>
        <v>Low</v>
      </c>
      <c r="Y131" s="40" t="s">
        <v>618</v>
      </c>
      <c r="Z131" s="40">
        <f t="shared" ref="Z131:Z139" si="24">LN(M131/Q131)</f>
        <v>4.8189914030321933E-2</v>
      </c>
      <c r="AA131" s="40">
        <f t="shared" ref="AA131:AA139" si="25">(O131^2)/(L131*M131^2)</f>
        <v>1.6195251089091381E-4</v>
      </c>
      <c r="AB131" s="40">
        <f t="shared" ref="AB131:AB139" si="26">(S131^2)/(P131*Q131^2)</f>
        <v>2.4907770525700481E-4</v>
      </c>
      <c r="AC131" s="40">
        <f t="shared" ref="AC131:AC139" si="27">SUM(AA131,AB131)</f>
        <v>4.1103021614791863E-4</v>
      </c>
      <c r="AD131" s="40" t="s">
        <v>623</v>
      </c>
      <c r="AF131" s="40" t="s">
        <v>244</v>
      </c>
    </row>
    <row r="132" spans="1:32" s="40" customFormat="1" ht="15.75" x14ac:dyDescent="0.2">
      <c r="A132" s="40">
        <v>131</v>
      </c>
      <c r="B132" s="40">
        <v>19</v>
      </c>
      <c r="C132" s="40" t="s">
        <v>615</v>
      </c>
      <c r="D132" s="40" t="s">
        <v>616</v>
      </c>
      <c r="E132" s="40" t="s">
        <v>617</v>
      </c>
      <c r="F132" s="40" t="s">
        <v>598</v>
      </c>
      <c r="G132" s="40" t="s">
        <v>593</v>
      </c>
      <c r="H132" s="40" t="s">
        <v>625</v>
      </c>
      <c r="I132" s="40" t="s">
        <v>173</v>
      </c>
      <c r="J132" s="40">
        <v>19</v>
      </c>
      <c r="K132" s="40" t="s">
        <v>624</v>
      </c>
      <c r="L132" s="40">
        <v>4</v>
      </c>
      <c r="M132" s="40">
        <v>13.474830000000001</v>
      </c>
      <c r="O132" s="40">
        <v>0.46922999999999959</v>
      </c>
      <c r="P132" s="40">
        <v>4</v>
      </c>
      <c r="Q132" s="40">
        <v>13.17624</v>
      </c>
      <c r="S132" s="40">
        <v>0.4159000000000006</v>
      </c>
      <c r="T132" s="40">
        <v>4</v>
      </c>
      <c r="U132" s="40" t="s">
        <v>621</v>
      </c>
      <c r="V132" s="40">
        <v>500</v>
      </c>
      <c r="W132" s="40">
        <f t="shared" si="22"/>
        <v>0.5</v>
      </c>
      <c r="X132" s="40" t="str">
        <f t="shared" si="23"/>
        <v>Low</v>
      </c>
      <c r="Y132" s="40" t="s">
        <v>618</v>
      </c>
      <c r="Z132" s="40">
        <f t="shared" si="24"/>
        <v>2.2408293114308919E-2</v>
      </c>
      <c r="AA132" s="40">
        <f t="shared" si="25"/>
        <v>3.0315515709551292E-4</v>
      </c>
      <c r="AB132" s="40">
        <f t="shared" si="26"/>
        <v>2.4907770525700481E-4</v>
      </c>
      <c r="AC132" s="40">
        <f t="shared" si="27"/>
        <v>5.5223286235251768E-4</v>
      </c>
      <c r="AD132" s="40" t="s">
        <v>623</v>
      </c>
      <c r="AF132" s="40" t="s">
        <v>244</v>
      </c>
    </row>
    <row r="133" spans="1:32" s="40" customFormat="1" ht="15.75" x14ac:dyDescent="0.2">
      <c r="A133" s="40">
        <v>132</v>
      </c>
      <c r="B133" s="40">
        <v>19</v>
      </c>
      <c r="C133" s="40" t="s">
        <v>615</v>
      </c>
      <c r="D133" s="40" t="s">
        <v>616</v>
      </c>
      <c r="E133" s="40" t="s">
        <v>617</v>
      </c>
      <c r="F133" s="40" t="s">
        <v>598</v>
      </c>
      <c r="G133" s="40" t="s">
        <v>593</v>
      </c>
      <c r="H133" s="40" t="s">
        <v>625</v>
      </c>
      <c r="I133" s="40" t="s">
        <v>173</v>
      </c>
      <c r="J133" s="40">
        <v>19</v>
      </c>
      <c r="K133" s="40" t="s">
        <v>624</v>
      </c>
      <c r="L133" s="40">
        <v>4</v>
      </c>
      <c r="M133" s="40">
        <v>12.94162</v>
      </c>
      <c r="O133" s="40">
        <v>0.40523999999999916</v>
      </c>
      <c r="P133" s="40">
        <v>4</v>
      </c>
      <c r="Q133" s="40">
        <v>13.17624</v>
      </c>
      <c r="S133" s="40">
        <v>0.4159000000000006</v>
      </c>
      <c r="T133" s="40">
        <v>4</v>
      </c>
      <c r="U133" s="40" t="s">
        <v>622</v>
      </c>
      <c r="V133" s="40">
        <v>1000</v>
      </c>
      <c r="W133" s="40">
        <f t="shared" si="22"/>
        <v>1</v>
      </c>
      <c r="X133" s="40" t="str">
        <f t="shared" si="23"/>
        <v>Low</v>
      </c>
      <c r="Y133" s="40" t="s">
        <v>618</v>
      </c>
      <c r="Z133" s="40">
        <f t="shared" si="24"/>
        <v>-1.7966733209575283E-2</v>
      </c>
      <c r="AA133" s="40">
        <f t="shared" si="25"/>
        <v>2.4512484651804549E-4</v>
      </c>
      <c r="AB133" s="40">
        <f t="shared" si="26"/>
        <v>2.4907770525700481E-4</v>
      </c>
      <c r="AC133" s="40">
        <f t="shared" si="27"/>
        <v>4.9420255177505036E-4</v>
      </c>
      <c r="AD133" s="40" t="s">
        <v>623</v>
      </c>
      <c r="AF133" s="40" t="s">
        <v>244</v>
      </c>
    </row>
    <row r="134" spans="1:32" s="43" customFormat="1" ht="15.75" x14ac:dyDescent="0.2">
      <c r="A134" s="43">
        <v>133</v>
      </c>
      <c r="B134" s="43">
        <v>20</v>
      </c>
      <c r="C134" s="43" t="s">
        <v>648</v>
      </c>
      <c r="D134" s="43" t="s">
        <v>656</v>
      </c>
      <c r="E134" s="43" t="s">
        <v>657</v>
      </c>
      <c r="F134" s="43" t="s">
        <v>133</v>
      </c>
      <c r="G134" s="43" t="s">
        <v>168</v>
      </c>
      <c r="H134" s="43" t="s">
        <v>140</v>
      </c>
      <c r="I134" s="43" t="s">
        <v>173</v>
      </c>
      <c r="J134" s="43">
        <v>20</v>
      </c>
      <c r="K134" s="43" t="s">
        <v>655</v>
      </c>
      <c r="L134" s="43">
        <v>5</v>
      </c>
      <c r="M134" s="43">
        <v>1.06864</v>
      </c>
      <c r="N134" s="43">
        <v>0.18086999999999986</v>
      </c>
      <c r="O134" s="43">
        <f t="shared" ref="O134:O139" si="28" xml:space="preserve"> N134*SQRT(L134)</f>
        <v>0.40443761509038667</v>
      </c>
      <c r="P134" s="43">
        <v>5</v>
      </c>
      <c r="Q134" s="43">
        <v>1.3993500000000001</v>
      </c>
      <c r="R134" s="43">
        <v>0.21056999999999992</v>
      </c>
      <c r="S134" s="43">
        <f t="shared" ref="S134:S139" si="29" xml:space="preserve"> R134*SQRT(P134)</f>
        <v>0.47084883402213057</v>
      </c>
      <c r="T134" s="43">
        <v>5</v>
      </c>
      <c r="U134" s="43" t="s">
        <v>659</v>
      </c>
      <c r="V134" s="43">
        <v>0.5</v>
      </c>
      <c r="W134" s="43">
        <f t="shared" ref="W134:W139" si="30">V134*95.24</f>
        <v>47.62</v>
      </c>
      <c r="X134" s="43" t="str">
        <f t="shared" si="23"/>
        <v>High</v>
      </c>
      <c r="Y134" s="43" t="s">
        <v>651</v>
      </c>
      <c r="Z134" s="43">
        <f t="shared" si="24"/>
        <v>-0.26962103109775398</v>
      </c>
      <c r="AA134" s="43">
        <f t="shared" si="25"/>
        <v>2.8646411417054405E-2</v>
      </c>
      <c r="AB134" s="43">
        <f t="shared" si="26"/>
        <v>2.2643329690423337E-2</v>
      </c>
      <c r="AC134" s="43">
        <f t="shared" si="27"/>
        <v>5.1289741107477742E-2</v>
      </c>
      <c r="AD134" s="43" t="s">
        <v>212</v>
      </c>
    </row>
    <row r="135" spans="1:32" s="43" customFormat="1" ht="15.75" x14ac:dyDescent="0.2">
      <c r="A135" s="43">
        <v>134</v>
      </c>
      <c r="B135" s="43">
        <v>20</v>
      </c>
      <c r="C135" s="43" t="s">
        <v>648</v>
      </c>
      <c r="D135" s="43" t="s">
        <v>656</v>
      </c>
      <c r="E135" s="43" t="s">
        <v>657</v>
      </c>
      <c r="F135" s="43" t="s">
        <v>133</v>
      </c>
      <c r="G135" s="43" t="s">
        <v>168</v>
      </c>
      <c r="H135" s="43" t="s">
        <v>140</v>
      </c>
      <c r="I135" s="43" t="s">
        <v>173</v>
      </c>
      <c r="J135" s="43">
        <v>20</v>
      </c>
      <c r="K135" s="43" t="s">
        <v>655</v>
      </c>
      <c r="L135" s="43">
        <v>5</v>
      </c>
      <c r="M135" s="43">
        <v>1.3377300000000001</v>
      </c>
      <c r="N135" s="43">
        <v>0.28194999999999992</v>
      </c>
      <c r="O135" s="43">
        <f t="shared" si="28"/>
        <v>0.63045936625606558</v>
      </c>
      <c r="P135" s="43">
        <v>5</v>
      </c>
      <c r="Q135" s="43">
        <v>1.3993500000000001</v>
      </c>
      <c r="R135" s="43">
        <v>0.21056999999999992</v>
      </c>
      <c r="S135" s="43">
        <f t="shared" si="29"/>
        <v>0.47084883402213057</v>
      </c>
      <c r="T135" s="43">
        <v>5</v>
      </c>
      <c r="U135" s="43" t="s">
        <v>659</v>
      </c>
      <c r="V135" s="43">
        <v>0.5</v>
      </c>
      <c r="W135" s="43">
        <f t="shared" si="30"/>
        <v>47.62</v>
      </c>
      <c r="X135" s="43" t="str">
        <f t="shared" si="23"/>
        <v>High</v>
      </c>
      <c r="Y135" s="43" t="s">
        <v>658</v>
      </c>
      <c r="Z135" s="43">
        <f t="shared" si="24"/>
        <v>-4.5033695471971634E-2</v>
      </c>
      <c r="AA135" s="43">
        <f t="shared" si="25"/>
        <v>4.4422936606252912E-2</v>
      </c>
      <c r="AB135" s="43">
        <f t="shared" si="26"/>
        <v>2.2643329690423337E-2</v>
      </c>
      <c r="AC135" s="43">
        <f t="shared" si="27"/>
        <v>6.7066266296676252E-2</v>
      </c>
      <c r="AD135" s="43" t="s">
        <v>212</v>
      </c>
    </row>
    <row r="136" spans="1:32" s="43" customFormat="1" ht="15.75" x14ac:dyDescent="0.2">
      <c r="A136" s="43">
        <v>135</v>
      </c>
      <c r="B136" s="43">
        <v>20</v>
      </c>
      <c r="C136" s="43" t="s">
        <v>648</v>
      </c>
      <c r="D136" s="43" t="s">
        <v>656</v>
      </c>
      <c r="E136" s="43" t="s">
        <v>657</v>
      </c>
      <c r="F136" s="43" t="s">
        <v>133</v>
      </c>
      <c r="G136" s="43" t="s">
        <v>168</v>
      </c>
      <c r="H136" s="43" t="s">
        <v>140</v>
      </c>
      <c r="I136" s="43" t="s">
        <v>173</v>
      </c>
      <c r="J136" s="43">
        <v>20</v>
      </c>
      <c r="K136" s="43" t="s">
        <v>655</v>
      </c>
      <c r="L136" s="43">
        <v>5</v>
      </c>
      <c r="M136" s="43">
        <v>1.15154</v>
      </c>
      <c r="N136" s="43">
        <v>0.2083600000000001</v>
      </c>
      <c r="O136" s="43">
        <f t="shared" si="28"/>
        <v>0.46590712379185645</v>
      </c>
      <c r="P136" s="43">
        <v>5</v>
      </c>
      <c r="Q136" s="43">
        <v>1.3993500000000001</v>
      </c>
      <c r="R136" s="43">
        <v>0.21056999999999992</v>
      </c>
      <c r="S136" s="43">
        <f t="shared" si="29"/>
        <v>0.47084883402213057</v>
      </c>
      <c r="T136" s="43">
        <v>5</v>
      </c>
      <c r="U136" s="43" t="s">
        <v>653</v>
      </c>
      <c r="V136" s="43">
        <v>1</v>
      </c>
      <c r="W136" s="43">
        <f t="shared" si="30"/>
        <v>95.24</v>
      </c>
      <c r="X136" s="43" t="str">
        <f t="shared" si="23"/>
        <v>High</v>
      </c>
      <c r="Y136" s="43" t="s">
        <v>651</v>
      </c>
      <c r="Z136" s="43">
        <f t="shared" si="24"/>
        <v>-0.19490766611849097</v>
      </c>
      <c r="AA136" s="43">
        <f t="shared" si="25"/>
        <v>3.2739394344411726E-2</v>
      </c>
      <c r="AB136" s="43">
        <f t="shared" si="26"/>
        <v>2.2643329690423337E-2</v>
      </c>
      <c r="AC136" s="43">
        <f t="shared" si="27"/>
        <v>5.538272403483506E-2</v>
      </c>
      <c r="AD136" s="43" t="s">
        <v>212</v>
      </c>
    </row>
    <row r="137" spans="1:32" s="43" customFormat="1" ht="15.75" x14ac:dyDescent="0.2">
      <c r="A137" s="43">
        <v>136</v>
      </c>
      <c r="B137" s="43">
        <v>20</v>
      </c>
      <c r="C137" s="43" t="s">
        <v>648</v>
      </c>
      <c r="D137" s="43" t="s">
        <v>656</v>
      </c>
      <c r="E137" s="43" t="s">
        <v>657</v>
      </c>
      <c r="F137" s="43" t="s">
        <v>133</v>
      </c>
      <c r="G137" s="43" t="s">
        <v>168</v>
      </c>
      <c r="H137" s="43" t="s">
        <v>140</v>
      </c>
      <c r="I137" s="43" t="s">
        <v>173</v>
      </c>
      <c r="J137" s="43">
        <v>20</v>
      </c>
      <c r="K137" s="43" t="s">
        <v>655</v>
      </c>
      <c r="L137" s="43">
        <v>5</v>
      </c>
      <c r="M137" s="43">
        <v>1.2082900000000001</v>
      </c>
      <c r="N137" s="43">
        <v>0.21278999999999981</v>
      </c>
      <c r="O137" s="43">
        <f t="shared" si="28"/>
        <v>0.47581290493217987</v>
      </c>
      <c r="P137" s="43">
        <v>5</v>
      </c>
      <c r="Q137" s="43">
        <v>1.3993500000000001</v>
      </c>
      <c r="R137" s="43">
        <v>0.21056999999999992</v>
      </c>
      <c r="S137" s="43">
        <f t="shared" si="29"/>
        <v>0.47084883402213057</v>
      </c>
      <c r="T137" s="43">
        <v>5</v>
      </c>
      <c r="U137" s="43" t="s">
        <v>653</v>
      </c>
      <c r="V137" s="43">
        <v>1</v>
      </c>
      <c r="W137" s="43">
        <f t="shared" si="30"/>
        <v>95.24</v>
      </c>
      <c r="X137" s="43" t="str">
        <f t="shared" si="23"/>
        <v>High</v>
      </c>
      <c r="Y137" s="43" t="s">
        <v>658</v>
      </c>
      <c r="Z137" s="43">
        <f t="shared" si="24"/>
        <v>-0.1468017061664392</v>
      </c>
      <c r="AA137" s="43">
        <f t="shared" si="25"/>
        <v>3.1014163118162092E-2</v>
      </c>
      <c r="AB137" s="43">
        <f t="shared" si="26"/>
        <v>2.2643329690423337E-2</v>
      </c>
      <c r="AC137" s="43">
        <f t="shared" si="27"/>
        <v>5.3657492808585429E-2</v>
      </c>
      <c r="AD137" s="43" t="s">
        <v>212</v>
      </c>
    </row>
    <row r="138" spans="1:32" s="43" customFormat="1" ht="15.75" x14ac:dyDescent="0.2">
      <c r="A138" s="43">
        <v>137</v>
      </c>
      <c r="B138" s="43">
        <v>20</v>
      </c>
      <c r="C138" s="43" t="s">
        <v>648</v>
      </c>
      <c r="D138" s="43" t="s">
        <v>656</v>
      </c>
      <c r="E138" s="43" t="s">
        <v>657</v>
      </c>
      <c r="F138" s="43" t="s">
        <v>133</v>
      </c>
      <c r="G138" s="43" t="s">
        <v>168</v>
      </c>
      <c r="H138" s="43" t="s">
        <v>140</v>
      </c>
      <c r="I138" s="43" t="s">
        <v>173</v>
      </c>
      <c r="J138" s="43">
        <v>20</v>
      </c>
      <c r="K138" s="43" t="s">
        <v>655</v>
      </c>
      <c r="L138" s="43">
        <v>5</v>
      </c>
      <c r="M138" s="43">
        <v>1.3599000000000001</v>
      </c>
      <c r="N138" s="43">
        <v>0.2522399999999998</v>
      </c>
      <c r="O138" s="43">
        <f t="shared" si="28"/>
        <v>0.5640257866445465</v>
      </c>
      <c r="P138" s="43">
        <v>5</v>
      </c>
      <c r="Q138" s="43">
        <v>1.3993500000000001</v>
      </c>
      <c r="R138" s="43">
        <v>0.21056999999999992</v>
      </c>
      <c r="S138" s="43">
        <f t="shared" si="29"/>
        <v>0.47084883402213057</v>
      </c>
      <c r="T138" s="43">
        <v>5</v>
      </c>
      <c r="U138" s="43" t="s">
        <v>654</v>
      </c>
      <c r="V138" s="43">
        <v>2</v>
      </c>
      <c r="W138" s="43">
        <f t="shared" si="30"/>
        <v>190.48</v>
      </c>
      <c r="X138" s="43" t="str">
        <f t="shared" si="23"/>
        <v>High</v>
      </c>
      <c r="Y138" s="43" t="s">
        <v>651</v>
      </c>
      <c r="Z138" s="43">
        <f t="shared" si="24"/>
        <v>-2.8596675460166466E-2</v>
      </c>
      <c r="AA138" s="43">
        <f t="shared" si="25"/>
        <v>3.4404398384686709E-2</v>
      </c>
      <c r="AB138" s="43">
        <f t="shared" si="26"/>
        <v>2.2643329690423337E-2</v>
      </c>
      <c r="AC138" s="43">
        <f t="shared" si="27"/>
        <v>5.7047728075110049E-2</v>
      </c>
      <c r="AD138" s="43" t="s">
        <v>212</v>
      </c>
    </row>
    <row r="139" spans="1:32" s="43" customFormat="1" ht="15.75" x14ac:dyDescent="0.2">
      <c r="A139" s="43">
        <v>138</v>
      </c>
      <c r="B139" s="43">
        <v>20</v>
      </c>
      <c r="C139" s="43" t="s">
        <v>648</v>
      </c>
      <c r="D139" s="43" t="s">
        <v>656</v>
      </c>
      <c r="E139" s="43" t="s">
        <v>657</v>
      </c>
      <c r="F139" s="43" t="s">
        <v>133</v>
      </c>
      <c r="G139" s="43" t="s">
        <v>168</v>
      </c>
      <c r="H139" s="43" t="s">
        <v>140</v>
      </c>
      <c r="I139" s="43" t="s">
        <v>173</v>
      </c>
      <c r="J139" s="43">
        <v>20</v>
      </c>
      <c r="K139" s="43" t="s">
        <v>655</v>
      </c>
      <c r="L139" s="43">
        <v>5</v>
      </c>
      <c r="M139" s="43">
        <v>1.32576</v>
      </c>
      <c r="N139" s="43">
        <v>0.23761999999999994</v>
      </c>
      <c r="O139" s="43">
        <f t="shared" si="28"/>
        <v>0.53133447281349988</v>
      </c>
      <c r="P139" s="43">
        <v>5</v>
      </c>
      <c r="Q139" s="43">
        <v>1.3993500000000001</v>
      </c>
      <c r="R139" s="43">
        <v>0.21056999999999992</v>
      </c>
      <c r="S139" s="43">
        <f t="shared" si="29"/>
        <v>0.47084883402213057</v>
      </c>
      <c r="T139" s="43">
        <v>5</v>
      </c>
      <c r="U139" s="43" t="s">
        <v>654</v>
      </c>
      <c r="V139" s="43">
        <v>2</v>
      </c>
      <c r="W139" s="43">
        <f t="shared" si="30"/>
        <v>190.48</v>
      </c>
      <c r="X139" s="43" t="str">
        <f t="shared" si="23"/>
        <v>High</v>
      </c>
      <c r="Y139" s="43" t="s">
        <v>658</v>
      </c>
      <c r="Z139" s="43">
        <f t="shared" si="24"/>
        <v>-5.402196318604275E-2</v>
      </c>
      <c r="AA139" s="43">
        <f t="shared" si="25"/>
        <v>3.2124483949717793E-2</v>
      </c>
      <c r="AB139" s="43">
        <f t="shared" si="26"/>
        <v>2.2643329690423337E-2</v>
      </c>
      <c r="AC139" s="43">
        <f t="shared" si="27"/>
        <v>5.4767813640141133E-2</v>
      </c>
      <c r="AD139" s="43" t="s">
        <v>212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12"/>
  <sheetViews>
    <sheetView zoomScale="85" zoomScaleNormal="85" workbookViewId="0">
      <pane ySplit="1" topLeftCell="A2" activePane="bottomLeft" state="frozen"/>
      <selection pane="bottomLeft" activeCell="F22" sqref="F22"/>
    </sheetView>
  </sheetViews>
  <sheetFormatPr defaultRowHeight="14.25" x14ac:dyDescent="0.2"/>
  <cols>
    <col min="21" max="24" width="22.125" customWidth="1"/>
    <col min="31" max="31" width="13.75" customWidth="1"/>
    <col min="32" max="32" width="12.75" customWidth="1"/>
  </cols>
  <sheetData>
    <row r="1" spans="1:32" s="2" customFormat="1" ht="1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58</v>
      </c>
      <c r="F1" s="1" t="s">
        <v>660</v>
      </c>
      <c r="G1" s="1" t="s">
        <v>68</v>
      </c>
      <c r="H1" s="1" t="s">
        <v>92</v>
      </c>
      <c r="I1" s="1" t="s">
        <v>40</v>
      </c>
      <c r="J1" s="1" t="s">
        <v>41</v>
      </c>
      <c r="K1" s="1" t="s">
        <v>126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51</v>
      </c>
      <c r="W1" s="1" t="s">
        <v>701</v>
      </c>
      <c r="X1" s="46" t="s">
        <v>722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59</v>
      </c>
      <c r="AF1" s="1" t="s">
        <v>61</v>
      </c>
    </row>
    <row r="2" spans="1:32" s="4" customFormat="1" ht="14.25" customHeight="1" x14ac:dyDescent="0.2">
      <c r="A2" s="4">
        <v>1</v>
      </c>
      <c r="B2" s="4">
        <v>1</v>
      </c>
      <c r="C2" s="4" t="s">
        <v>2</v>
      </c>
      <c r="D2" s="4" t="s">
        <v>79</v>
      </c>
      <c r="E2" s="4" t="s">
        <v>80</v>
      </c>
      <c r="F2" s="4" t="s">
        <v>64</v>
      </c>
      <c r="G2" s="4" t="s">
        <v>106</v>
      </c>
      <c r="H2" s="4" t="s">
        <v>94</v>
      </c>
      <c r="I2" s="4" t="s">
        <v>105</v>
      </c>
      <c r="J2" s="4">
        <v>1</v>
      </c>
      <c r="K2" s="4" t="s">
        <v>779</v>
      </c>
      <c r="L2" s="4">
        <v>5</v>
      </c>
      <c r="M2" s="4">
        <v>60.780990000000003</v>
      </c>
      <c r="N2" s="4">
        <v>2.4019599999999954</v>
      </c>
      <c r="O2" s="4">
        <f xml:space="preserve"> N2*SQRT(L2)</f>
        <v>5.370945839235385</v>
      </c>
      <c r="P2" s="4">
        <v>5</v>
      </c>
      <c r="Q2" s="4">
        <v>45.045720000000003</v>
      </c>
      <c r="R2" s="4">
        <v>2.6960799999999949</v>
      </c>
      <c r="S2" s="4">
        <f xml:space="preserve"> R2*SQRT(P2)</f>
        <v>6.0286181527776224</v>
      </c>
      <c r="T2" s="4">
        <v>5</v>
      </c>
      <c r="U2" s="4" t="s">
        <v>699</v>
      </c>
      <c r="V2" s="4">
        <v>375</v>
      </c>
      <c r="W2" s="4">
        <f>V2/1000</f>
        <v>0.375</v>
      </c>
      <c r="X2" s="4" t="str">
        <f>IF(W2&lt;=1, "Low", IF(W2&lt;10, "Medium", "High"))</f>
        <v>Low</v>
      </c>
      <c r="Y2" s="4" t="s">
        <v>90</v>
      </c>
      <c r="Z2" s="4">
        <f t="shared" ref="Z2:Z48" si="0">LN(M2/Q2)</f>
        <v>0.29959910161706532</v>
      </c>
      <c r="AA2" s="4">
        <f t="shared" ref="AA2:AA65" si="1">(O2^2)/(L2*M2^2)</f>
        <v>1.5616942181485198E-3</v>
      </c>
      <c r="AB2" s="4">
        <f t="shared" ref="AB2:AB65" si="2">(S2^2)/(P2*Q2^2)</f>
        <v>3.5822713817435024E-3</v>
      </c>
      <c r="AC2" s="4">
        <f>SUM(AA2,AB2)</f>
        <v>5.1439655998920218E-3</v>
      </c>
      <c r="AD2" s="4" t="s">
        <v>97</v>
      </c>
      <c r="AE2" s="4" t="s">
        <v>91</v>
      </c>
      <c r="AF2" s="4" t="s">
        <v>663</v>
      </c>
    </row>
    <row r="3" spans="1:32" s="4" customFormat="1" ht="15.75" x14ac:dyDescent="0.2">
      <c r="A3" s="4">
        <v>2</v>
      </c>
      <c r="B3" s="4">
        <v>1</v>
      </c>
      <c r="C3" s="4" t="s">
        <v>2</v>
      </c>
      <c r="D3" s="4" t="s">
        <v>79</v>
      </c>
      <c r="E3" s="4" t="s">
        <v>80</v>
      </c>
      <c r="F3" s="4" t="s">
        <v>64</v>
      </c>
      <c r="H3" s="4" t="s">
        <v>94</v>
      </c>
      <c r="I3" s="4" t="s">
        <v>105</v>
      </c>
      <c r="J3" s="4">
        <v>1</v>
      </c>
      <c r="K3" s="4" t="s">
        <v>779</v>
      </c>
      <c r="L3" s="4">
        <v>5</v>
      </c>
      <c r="M3" s="4">
        <v>1104.49243</v>
      </c>
      <c r="N3" s="4">
        <v>55.923790000000054</v>
      </c>
      <c r="O3" s="4">
        <f t="shared" ref="O3:O66" si="3" xml:space="preserve"> N3*SQRT(L3)</f>
        <v>125.04939599942308</v>
      </c>
      <c r="P3" s="4">
        <v>5</v>
      </c>
      <c r="Q3" s="4">
        <v>1023.81549</v>
      </c>
      <c r="R3" s="4">
        <v>90.761560000000145</v>
      </c>
      <c r="S3" s="4">
        <f t="shared" ref="S3:S66" si="4" xml:space="preserve"> R3*SQRT(P3)</f>
        <v>202.94901790392615</v>
      </c>
      <c r="T3" s="4">
        <v>5</v>
      </c>
      <c r="U3" s="4" t="s">
        <v>699</v>
      </c>
      <c r="V3" s="4">
        <v>375</v>
      </c>
      <c r="W3" s="4">
        <f>V3/1000</f>
        <v>0.375</v>
      </c>
      <c r="X3" s="4" t="str">
        <f t="shared" ref="X3:X66" si="5">IF(W3&lt;=1, "Low", IF(W3&lt;10, "Medium", "High"))</f>
        <v>Low</v>
      </c>
      <c r="Y3" s="4" t="s">
        <v>90</v>
      </c>
      <c r="Z3" s="4">
        <f t="shared" si="0"/>
        <v>7.5849565239481567E-2</v>
      </c>
      <c r="AA3" s="4">
        <f t="shared" si="1"/>
        <v>2.5637029620513359E-3</v>
      </c>
      <c r="AB3" s="4">
        <f t="shared" si="2"/>
        <v>7.8588773641601536E-3</v>
      </c>
      <c r="AC3" s="4">
        <f t="shared" ref="AC3:AC66" si="6">SUM(AA3,AB3)</f>
        <v>1.0422580326211489E-2</v>
      </c>
      <c r="AD3" s="4" t="s">
        <v>97</v>
      </c>
      <c r="AF3" s="4" t="s">
        <v>96</v>
      </c>
    </row>
    <row r="4" spans="1:32" s="4" customFormat="1" ht="15.75" x14ac:dyDescent="0.2">
      <c r="A4" s="4">
        <v>3</v>
      </c>
      <c r="B4" s="4">
        <v>1</v>
      </c>
      <c r="C4" s="4" t="s">
        <v>2</v>
      </c>
      <c r="D4" s="4" t="s">
        <v>79</v>
      </c>
      <c r="E4" s="4" t="s">
        <v>80</v>
      </c>
      <c r="F4" s="4" t="s">
        <v>64</v>
      </c>
      <c r="H4" s="4" t="s">
        <v>94</v>
      </c>
      <c r="I4" s="4" t="s">
        <v>105</v>
      </c>
      <c r="J4" s="4">
        <v>1</v>
      </c>
      <c r="K4" s="4" t="s">
        <v>780</v>
      </c>
      <c r="L4" s="4">
        <v>5</v>
      </c>
      <c r="M4" s="4">
        <v>1574.11394</v>
      </c>
      <c r="N4" s="4">
        <v>310.48400000000015</v>
      </c>
      <c r="O4" s="4">
        <f t="shared" si="3"/>
        <v>694.26332992604512</v>
      </c>
      <c r="P4" s="4">
        <v>5</v>
      </c>
      <c r="Q4" s="4">
        <v>844.35433</v>
      </c>
      <c r="R4" s="4">
        <v>358.15673000000004</v>
      </c>
      <c r="S4" s="4">
        <f t="shared" si="4"/>
        <v>800.86279487903835</v>
      </c>
      <c r="T4" s="4">
        <v>5</v>
      </c>
      <c r="U4" s="4" t="s">
        <v>699</v>
      </c>
      <c r="V4" s="4">
        <v>375</v>
      </c>
      <c r="W4" s="4">
        <f>V4/1000</f>
        <v>0.375</v>
      </c>
      <c r="X4" s="4" t="str">
        <f t="shared" si="5"/>
        <v>Low</v>
      </c>
      <c r="Y4" s="4" t="s">
        <v>90</v>
      </c>
      <c r="Z4" s="4">
        <f t="shared" si="0"/>
        <v>0.6228755864055775</v>
      </c>
      <c r="AA4" s="4">
        <f t="shared" si="1"/>
        <v>3.8905062717718604E-2</v>
      </c>
      <c r="AB4" s="4">
        <f t="shared" si="2"/>
        <v>0.17992717563648525</v>
      </c>
      <c r="AC4" s="4">
        <f t="shared" si="6"/>
        <v>0.21883223835420385</v>
      </c>
      <c r="AD4" s="4" t="s">
        <v>97</v>
      </c>
      <c r="AF4" s="4" t="s">
        <v>96</v>
      </c>
    </row>
    <row r="5" spans="1:32" s="4" customFormat="1" ht="15.75" x14ac:dyDescent="0.2">
      <c r="A5" s="4">
        <v>4</v>
      </c>
      <c r="B5" s="4">
        <v>1</v>
      </c>
      <c r="C5" s="4" t="s">
        <v>2</v>
      </c>
      <c r="D5" s="4" t="s">
        <v>79</v>
      </c>
      <c r="E5" s="4" t="s">
        <v>80</v>
      </c>
      <c r="F5" s="4" t="s">
        <v>64</v>
      </c>
      <c r="H5" s="4" t="s">
        <v>94</v>
      </c>
      <c r="I5" s="4" t="s">
        <v>105</v>
      </c>
      <c r="J5" s="4">
        <v>1</v>
      </c>
      <c r="K5" s="4" t="s">
        <v>780</v>
      </c>
      <c r="L5" s="4">
        <v>5</v>
      </c>
      <c r="M5" s="4">
        <v>1283.1880000000001</v>
      </c>
      <c r="N5" s="4">
        <v>216.36088999999993</v>
      </c>
      <c r="O5" s="4">
        <f t="shared" si="3"/>
        <v>483.79765771235435</v>
      </c>
      <c r="P5" s="4">
        <v>5</v>
      </c>
      <c r="Q5" s="4">
        <v>1033.8228999999999</v>
      </c>
      <c r="R5" s="4">
        <v>80.676950000000033</v>
      </c>
      <c r="S5" s="4">
        <f t="shared" si="4"/>
        <v>180.39914441735175</v>
      </c>
      <c r="T5" s="4">
        <v>5</v>
      </c>
      <c r="U5" s="4" t="s">
        <v>699</v>
      </c>
      <c r="V5" s="4">
        <v>375</v>
      </c>
      <c r="W5" s="4">
        <f>V5/1000</f>
        <v>0.375</v>
      </c>
      <c r="X5" s="4" t="str">
        <f t="shared" si="5"/>
        <v>Low</v>
      </c>
      <c r="Y5" s="4" t="s">
        <v>90</v>
      </c>
      <c r="Z5" s="4">
        <f t="shared" si="0"/>
        <v>0.21608412164445731</v>
      </c>
      <c r="AA5" s="4">
        <f t="shared" si="1"/>
        <v>2.8430005215274549E-2</v>
      </c>
      <c r="AB5" s="4">
        <f t="shared" si="2"/>
        <v>6.0898507180210211E-3</v>
      </c>
      <c r="AC5" s="4">
        <f t="shared" si="6"/>
        <v>3.4519855933295568E-2</v>
      </c>
      <c r="AD5" s="4" t="s">
        <v>97</v>
      </c>
      <c r="AF5" s="4" t="s">
        <v>96</v>
      </c>
    </row>
    <row r="6" spans="1:32" s="4" customFormat="1" ht="15.75" x14ac:dyDescent="0.2">
      <c r="A6" s="4">
        <v>5</v>
      </c>
      <c r="B6" s="4">
        <v>1</v>
      </c>
      <c r="C6" s="4" t="s">
        <v>2</v>
      </c>
      <c r="D6" s="4" t="s">
        <v>79</v>
      </c>
      <c r="E6" s="4" t="s">
        <v>80</v>
      </c>
      <c r="F6" s="4" t="s">
        <v>64</v>
      </c>
      <c r="H6" s="4" t="s">
        <v>94</v>
      </c>
      <c r="I6" s="4" t="s">
        <v>105</v>
      </c>
      <c r="J6" s="4">
        <v>1</v>
      </c>
      <c r="K6" s="4" t="s">
        <v>780</v>
      </c>
      <c r="L6" s="4">
        <v>5</v>
      </c>
      <c r="M6" s="4">
        <v>102.19316000000001</v>
      </c>
      <c r="N6" s="4">
        <v>11.596619999999987</v>
      </c>
      <c r="O6" s="4">
        <f t="shared" si="3"/>
        <v>25.930830629233583</v>
      </c>
      <c r="P6" s="4">
        <v>5</v>
      </c>
      <c r="Q6" s="4">
        <v>131.76115999999999</v>
      </c>
      <c r="R6" s="4">
        <v>68.223430000000008</v>
      </c>
      <c r="S6" s="4">
        <f t="shared" si="4"/>
        <v>152.5522271381985</v>
      </c>
      <c r="T6" s="4">
        <v>5</v>
      </c>
      <c r="U6" s="4" t="s">
        <v>699</v>
      </c>
      <c r="V6" s="4">
        <v>375</v>
      </c>
      <c r="W6" s="4">
        <f>V6/1000</f>
        <v>0.375</v>
      </c>
      <c r="X6" s="4" t="str">
        <f t="shared" si="5"/>
        <v>Low</v>
      </c>
      <c r="Y6" s="4" t="s">
        <v>90</v>
      </c>
      <c r="Z6" s="4">
        <f t="shared" si="0"/>
        <v>-0.25412614177958603</v>
      </c>
      <c r="AA6" s="4">
        <f t="shared" si="1"/>
        <v>1.2877133425755617E-2</v>
      </c>
      <c r="AB6" s="4">
        <f t="shared" si="2"/>
        <v>0.26809720179640673</v>
      </c>
      <c r="AC6" s="4">
        <f t="shared" si="6"/>
        <v>0.28097433522216236</v>
      </c>
      <c r="AD6" s="4" t="s">
        <v>97</v>
      </c>
      <c r="AF6" s="4" t="s">
        <v>700</v>
      </c>
    </row>
    <row r="7" spans="1:32" s="5" customFormat="1" ht="15" customHeight="1" x14ac:dyDescent="0.2">
      <c r="A7" s="5">
        <v>6</v>
      </c>
      <c r="B7" s="5">
        <v>2</v>
      </c>
      <c r="C7" s="5" t="s">
        <v>3</v>
      </c>
      <c r="D7" s="5" t="s">
        <v>98</v>
      </c>
      <c r="E7" s="5" t="s">
        <v>99</v>
      </c>
      <c r="F7" s="5" t="s">
        <v>64</v>
      </c>
      <c r="G7" s="5" t="s">
        <v>107</v>
      </c>
      <c r="H7" s="5" t="s">
        <v>93</v>
      </c>
      <c r="I7" s="5" t="s">
        <v>105</v>
      </c>
      <c r="J7" s="5">
        <v>2</v>
      </c>
      <c r="K7" s="5" t="s">
        <v>780</v>
      </c>
      <c r="L7" s="5">
        <v>3</v>
      </c>
      <c r="M7" s="5">
        <v>8.4344900000000003</v>
      </c>
      <c r="N7" s="5">
        <v>1.5804600000000004</v>
      </c>
      <c r="O7" s="5">
        <f t="shared" si="3"/>
        <v>2.7374370193303084</v>
      </c>
      <c r="P7" s="5">
        <v>3</v>
      </c>
      <c r="Q7" s="5">
        <v>7.5267999999999997</v>
      </c>
      <c r="R7" s="5">
        <v>1.2173800000000004</v>
      </c>
      <c r="S7" s="5">
        <f t="shared" si="4"/>
        <v>2.1085640121182001</v>
      </c>
      <c r="T7" s="5">
        <v>3</v>
      </c>
      <c r="U7" s="5" t="s">
        <v>101</v>
      </c>
      <c r="V7" s="5">
        <v>0.1</v>
      </c>
      <c r="W7" s="5">
        <f>V7*1000</f>
        <v>100</v>
      </c>
      <c r="X7" s="5" t="str">
        <f t="shared" si="5"/>
        <v>High</v>
      </c>
      <c r="Y7" s="5" t="s">
        <v>112</v>
      </c>
      <c r="Z7" s="5">
        <f t="shared" si="0"/>
        <v>0.11385926712243973</v>
      </c>
      <c r="AA7" s="5">
        <f t="shared" si="1"/>
        <v>3.5111498280764944E-2</v>
      </c>
      <c r="AB7" s="5">
        <f t="shared" si="2"/>
        <v>2.6159628530473853E-2</v>
      </c>
      <c r="AC7" s="5">
        <f t="shared" si="6"/>
        <v>6.1271126811238794E-2</v>
      </c>
      <c r="AD7" s="5" t="s">
        <v>100</v>
      </c>
      <c r="AF7" s="5" t="s">
        <v>108</v>
      </c>
    </row>
    <row r="8" spans="1:32" s="5" customFormat="1" ht="15.75" x14ac:dyDescent="0.2">
      <c r="A8" s="5">
        <v>7</v>
      </c>
      <c r="B8" s="5">
        <v>2</v>
      </c>
      <c r="C8" s="5" t="s">
        <v>3</v>
      </c>
      <c r="D8" s="5" t="s">
        <v>98</v>
      </c>
      <c r="E8" s="5" t="s">
        <v>99</v>
      </c>
      <c r="F8" s="5" t="s">
        <v>64</v>
      </c>
      <c r="G8" s="5" t="s">
        <v>107</v>
      </c>
      <c r="H8" s="5" t="s">
        <v>93</v>
      </c>
      <c r="I8" s="5" t="s">
        <v>105</v>
      </c>
      <c r="J8" s="5">
        <v>2</v>
      </c>
      <c r="K8" s="5" t="s">
        <v>780</v>
      </c>
      <c r="L8" s="5">
        <v>3</v>
      </c>
      <c r="M8" s="5">
        <v>8.1888799999999993</v>
      </c>
      <c r="N8" s="5">
        <v>1.62317</v>
      </c>
      <c r="O8" s="5">
        <f t="shared" si="3"/>
        <v>2.8114129093215743</v>
      </c>
      <c r="P8" s="5">
        <v>3</v>
      </c>
      <c r="Q8" s="5">
        <v>7.5267999999999997</v>
      </c>
      <c r="R8" s="5">
        <v>1.2173800000000004</v>
      </c>
      <c r="S8" s="5">
        <f t="shared" si="4"/>
        <v>2.1085640121182001</v>
      </c>
      <c r="T8" s="5">
        <v>3</v>
      </c>
      <c r="U8" s="5" t="s">
        <v>102</v>
      </c>
      <c r="V8" s="5">
        <v>1</v>
      </c>
      <c r="W8" s="5">
        <f t="shared" ref="W8:W48" si="7">V8*1000</f>
        <v>1000</v>
      </c>
      <c r="X8" s="5" t="str">
        <f t="shared" si="5"/>
        <v>High</v>
      </c>
      <c r="Y8" s="5" t="s">
        <v>112</v>
      </c>
      <c r="Z8" s="5">
        <f t="shared" si="0"/>
        <v>8.4307151688447365E-2</v>
      </c>
      <c r="AA8" s="5">
        <f t="shared" si="1"/>
        <v>3.928972604568709E-2</v>
      </c>
      <c r="AB8" s="5">
        <f t="shared" si="2"/>
        <v>2.6159628530473853E-2</v>
      </c>
      <c r="AC8" s="5">
        <f t="shared" si="6"/>
        <v>6.544935457616094E-2</v>
      </c>
      <c r="AD8" s="5" t="s">
        <v>100</v>
      </c>
      <c r="AF8" s="5" t="s">
        <v>108</v>
      </c>
    </row>
    <row r="9" spans="1:32" s="5" customFormat="1" ht="15.75" x14ac:dyDescent="0.2">
      <c r="A9" s="5">
        <v>8</v>
      </c>
      <c r="B9" s="5">
        <v>2</v>
      </c>
      <c r="C9" s="5" t="s">
        <v>3</v>
      </c>
      <c r="D9" s="5" t="s">
        <v>98</v>
      </c>
      <c r="E9" s="5" t="s">
        <v>99</v>
      </c>
      <c r="F9" s="5" t="s">
        <v>64</v>
      </c>
      <c r="G9" s="5" t="s">
        <v>107</v>
      </c>
      <c r="H9" s="5" t="s">
        <v>93</v>
      </c>
      <c r="I9" s="5" t="s">
        <v>105</v>
      </c>
      <c r="J9" s="5">
        <v>2</v>
      </c>
      <c r="K9" s="5" t="s">
        <v>780</v>
      </c>
      <c r="L9" s="5">
        <v>3</v>
      </c>
      <c r="M9" s="5">
        <v>7.4234999999999998</v>
      </c>
      <c r="N9" s="5">
        <v>0.81158000000000019</v>
      </c>
      <c r="O9" s="5">
        <f t="shared" si="3"/>
        <v>1.4056977944067497</v>
      </c>
      <c r="P9" s="5">
        <v>3</v>
      </c>
      <c r="Q9" s="5">
        <v>7.5267999999999997</v>
      </c>
      <c r="R9" s="5">
        <v>1.2173800000000004</v>
      </c>
      <c r="S9" s="5">
        <f t="shared" si="4"/>
        <v>2.1085640121182001</v>
      </c>
      <c r="T9" s="5">
        <v>3</v>
      </c>
      <c r="U9" s="5" t="s">
        <v>103</v>
      </c>
      <c r="V9" s="5">
        <v>10</v>
      </c>
      <c r="W9" s="5">
        <f t="shared" si="7"/>
        <v>10000</v>
      </c>
      <c r="X9" s="5" t="str">
        <f t="shared" si="5"/>
        <v>High</v>
      </c>
      <c r="Y9" s="5" t="s">
        <v>112</v>
      </c>
      <c r="Z9" s="5">
        <f t="shared" si="0"/>
        <v>-1.3819340610439011E-2</v>
      </c>
      <c r="AA9" s="5">
        <f t="shared" si="1"/>
        <v>1.1952128298301647E-2</v>
      </c>
      <c r="AB9" s="5">
        <f t="shared" si="2"/>
        <v>2.6159628530473853E-2</v>
      </c>
      <c r="AC9" s="5">
        <f t="shared" si="6"/>
        <v>3.8111756828775503E-2</v>
      </c>
      <c r="AD9" s="5" t="s">
        <v>100</v>
      </c>
      <c r="AF9" s="5" t="s">
        <v>108</v>
      </c>
    </row>
    <row r="10" spans="1:32" s="5" customFormat="1" ht="15.75" x14ac:dyDescent="0.2">
      <c r="A10" s="5">
        <v>9</v>
      </c>
      <c r="B10" s="5">
        <v>2</v>
      </c>
      <c r="C10" s="5" t="s">
        <v>3</v>
      </c>
      <c r="D10" s="5" t="s">
        <v>98</v>
      </c>
      <c r="E10" s="5" t="s">
        <v>99</v>
      </c>
      <c r="F10" s="5" t="s">
        <v>64</v>
      </c>
      <c r="G10" s="5" t="s">
        <v>107</v>
      </c>
      <c r="H10" s="5" t="s">
        <v>93</v>
      </c>
      <c r="I10" s="5" t="s">
        <v>105</v>
      </c>
      <c r="J10" s="5">
        <v>2</v>
      </c>
      <c r="K10" s="5" t="s">
        <v>780</v>
      </c>
      <c r="L10" s="5">
        <v>3</v>
      </c>
      <c r="M10" s="5">
        <v>8.5412800000000004</v>
      </c>
      <c r="N10" s="5">
        <v>1.3134899999999998</v>
      </c>
      <c r="O10" s="5">
        <f t="shared" si="3"/>
        <v>2.2750314152336442</v>
      </c>
      <c r="P10" s="5">
        <v>3</v>
      </c>
      <c r="Q10" s="5">
        <v>7.5267999999999997</v>
      </c>
      <c r="R10" s="5">
        <v>1.2173800000000004</v>
      </c>
      <c r="S10" s="5">
        <f t="shared" si="4"/>
        <v>2.1085640121182001</v>
      </c>
      <c r="T10" s="5">
        <v>3</v>
      </c>
      <c r="U10" s="5" t="s">
        <v>104</v>
      </c>
      <c r="V10" s="5">
        <v>20</v>
      </c>
      <c r="W10" s="5">
        <f t="shared" si="7"/>
        <v>20000</v>
      </c>
      <c r="X10" s="5" t="str">
        <f t="shared" si="5"/>
        <v>High</v>
      </c>
      <c r="Y10" s="5" t="s">
        <v>112</v>
      </c>
      <c r="Z10" s="5">
        <f t="shared" si="0"/>
        <v>0.12644089478478723</v>
      </c>
      <c r="AA10" s="5">
        <f t="shared" si="1"/>
        <v>2.3648719123082185E-2</v>
      </c>
      <c r="AB10" s="5">
        <f t="shared" si="2"/>
        <v>2.6159628530473853E-2</v>
      </c>
      <c r="AC10" s="5">
        <f t="shared" si="6"/>
        <v>4.9808347653556038E-2</v>
      </c>
      <c r="AD10" s="5" t="s">
        <v>100</v>
      </c>
      <c r="AF10" s="5" t="s">
        <v>108</v>
      </c>
    </row>
    <row r="11" spans="1:32" s="5" customFormat="1" ht="15" customHeight="1" x14ac:dyDescent="0.2">
      <c r="A11" s="5">
        <v>10</v>
      </c>
      <c r="B11" s="5">
        <v>2</v>
      </c>
      <c r="C11" s="5" t="s">
        <v>3</v>
      </c>
      <c r="D11" s="5" t="s">
        <v>98</v>
      </c>
      <c r="E11" s="5" t="s">
        <v>99</v>
      </c>
      <c r="F11" s="5" t="s">
        <v>64</v>
      </c>
      <c r="G11" s="5" t="s">
        <v>141</v>
      </c>
      <c r="H11" s="5" t="s">
        <v>93</v>
      </c>
      <c r="I11" s="5" t="s">
        <v>105</v>
      </c>
      <c r="J11" s="5">
        <v>2</v>
      </c>
      <c r="K11" s="5" t="s">
        <v>780</v>
      </c>
      <c r="L11" s="5">
        <v>3</v>
      </c>
      <c r="M11" s="5">
        <v>6.25603</v>
      </c>
      <c r="N11" s="5">
        <v>0.40578999999999965</v>
      </c>
      <c r="O11" s="5">
        <f t="shared" si="3"/>
        <v>0.70284889720337407</v>
      </c>
      <c r="P11" s="5">
        <v>3</v>
      </c>
      <c r="Q11" s="5">
        <v>6.5657100000000002</v>
      </c>
      <c r="R11" s="5">
        <v>0.24561000000000011</v>
      </c>
      <c r="S11" s="5">
        <f t="shared" si="4"/>
        <v>0.42540899884699213</v>
      </c>
      <c r="T11" s="5">
        <v>3</v>
      </c>
      <c r="U11" s="5" t="s">
        <v>101</v>
      </c>
      <c r="V11" s="5">
        <v>0.1</v>
      </c>
      <c r="W11" s="5">
        <f t="shared" si="7"/>
        <v>100</v>
      </c>
      <c r="X11" s="5" t="str">
        <f t="shared" si="5"/>
        <v>High</v>
      </c>
      <c r="Y11" s="5" t="s">
        <v>112</v>
      </c>
      <c r="Z11" s="5">
        <f t="shared" si="0"/>
        <v>-4.8314852555582696E-2</v>
      </c>
      <c r="AA11" s="5">
        <f t="shared" si="1"/>
        <v>4.2073150654765327E-3</v>
      </c>
      <c r="AB11" s="5">
        <f t="shared" si="2"/>
        <v>1.39935755604977E-3</v>
      </c>
      <c r="AC11" s="5">
        <f t="shared" si="6"/>
        <v>5.6066726215263027E-3</v>
      </c>
      <c r="AD11" s="5" t="s">
        <v>100</v>
      </c>
      <c r="AF11" s="5" t="s">
        <v>108</v>
      </c>
    </row>
    <row r="12" spans="1:32" s="5" customFormat="1" ht="15.75" x14ac:dyDescent="0.2">
      <c r="A12" s="5">
        <v>11</v>
      </c>
      <c r="B12" s="5">
        <v>2</v>
      </c>
      <c r="C12" s="5" t="s">
        <v>3</v>
      </c>
      <c r="D12" s="5" t="s">
        <v>98</v>
      </c>
      <c r="E12" s="5" t="s">
        <v>99</v>
      </c>
      <c r="F12" s="5" t="s">
        <v>64</v>
      </c>
      <c r="G12" s="5" t="s">
        <v>73</v>
      </c>
      <c r="H12" s="5" t="s">
        <v>93</v>
      </c>
      <c r="I12" s="5" t="s">
        <v>105</v>
      </c>
      <c r="J12" s="5">
        <v>2</v>
      </c>
      <c r="K12" s="5" t="s">
        <v>780</v>
      </c>
      <c r="L12" s="5">
        <v>3</v>
      </c>
      <c r="M12" s="5">
        <v>6.5124000000000004</v>
      </c>
      <c r="N12" s="5">
        <v>0.5552999999999999</v>
      </c>
      <c r="O12" s="5">
        <f t="shared" si="3"/>
        <v>0.96180781344299737</v>
      </c>
      <c r="P12" s="5">
        <v>3</v>
      </c>
      <c r="Q12" s="5">
        <v>6.5657100000000002</v>
      </c>
      <c r="R12" s="5">
        <v>0.24561000000000011</v>
      </c>
      <c r="S12" s="5">
        <f t="shared" si="4"/>
        <v>0.42540899884699213</v>
      </c>
      <c r="T12" s="5">
        <v>3</v>
      </c>
      <c r="U12" s="5" t="s">
        <v>102</v>
      </c>
      <c r="V12" s="5">
        <v>1</v>
      </c>
      <c r="W12" s="5">
        <f t="shared" si="7"/>
        <v>1000</v>
      </c>
      <c r="X12" s="5" t="str">
        <f t="shared" si="5"/>
        <v>High</v>
      </c>
      <c r="Y12" s="5" t="s">
        <v>112</v>
      </c>
      <c r="Z12" s="5">
        <f t="shared" si="0"/>
        <v>-8.1525993082917723E-3</v>
      </c>
      <c r="AA12" s="5">
        <f t="shared" si="1"/>
        <v>7.2706495469339587E-3</v>
      </c>
      <c r="AB12" s="5">
        <f t="shared" si="2"/>
        <v>1.39935755604977E-3</v>
      </c>
      <c r="AC12" s="5">
        <f t="shared" si="6"/>
        <v>8.6700071029837296E-3</v>
      </c>
      <c r="AD12" s="5" t="s">
        <v>100</v>
      </c>
      <c r="AF12" s="5" t="s">
        <v>108</v>
      </c>
    </row>
    <row r="13" spans="1:32" s="5" customFormat="1" ht="15.75" x14ac:dyDescent="0.2">
      <c r="A13" s="5">
        <v>12</v>
      </c>
      <c r="B13" s="5">
        <v>2</v>
      </c>
      <c r="C13" s="5" t="s">
        <v>3</v>
      </c>
      <c r="D13" s="5" t="s">
        <v>98</v>
      </c>
      <c r="E13" s="5" t="s">
        <v>99</v>
      </c>
      <c r="F13" s="5" t="s">
        <v>64</v>
      </c>
      <c r="G13" s="5" t="s">
        <v>73</v>
      </c>
      <c r="H13" s="5" t="s">
        <v>93</v>
      </c>
      <c r="I13" s="5" t="s">
        <v>105</v>
      </c>
      <c r="J13" s="5">
        <v>2</v>
      </c>
      <c r="K13" s="5" t="s">
        <v>780</v>
      </c>
      <c r="L13" s="5">
        <v>3</v>
      </c>
      <c r="M13" s="5">
        <v>5.5512300000000003</v>
      </c>
      <c r="N13" s="5">
        <v>0.66207999999999956</v>
      </c>
      <c r="O13" s="5">
        <f t="shared" si="3"/>
        <v>1.1467561986752015</v>
      </c>
      <c r="P13" s="5">
        <v>3</v>
      </c>
      <c r="Q13" s="5">
        <v>6.5657100000000002</v>
      </c>
      <c r="R13" s="5">
        <v>0.24561000000000011</v>
      </c>
      <c r="S13" s="5">
        <f t="shared" si="4"/>
        <v>0.42540899884699213</v>
      </c>
      <c r="T13" s="5">
        <v>3</v>
      </c>
      <c r="U13" s="5" t="s">
        <v>103</v>
      </c>
      <c r="V13" s="5">
        <v>10</v>
      </c>
      <c r="W13" s="5">
        <f t="shared" si="7"/>
        <v>10000</v>
      </c>
      <c r="X13" s="5" t="str">
        <f t="shared" si="5"/>
        <v>High</v>
      </c>
      <c r="Y13" s="5" t="s">
        <v>112</v>
      </c>
      <c r="Z13" s="5">
        <f t="shared" si="0"/>
        <v>-0.16784112635799317</v>
      </c>
      <c r="AA13" s="5">
        <f t="shared" si="1"/>
        <v>1.4224679663275345E-2</v>
      </c>
      <c r="AB13" s="5">
        <f t="shared" si="2"/>
        <v>1.39935755604977E-3</v>
      </c>
      <c r="AC13" s="5">
        <f t="shared" si="6"/>
        <v>1.5624037219325114E-2</v>
      </c>
      <c r="AD13" s="5" t="s">
        <v>100</v>
      </c>
      <c r="AF13" s="5" t="s">
        <v>108</v>
      </c>
    </row>
    <row r="14" spans="1:32" s="5" customFormat="1" ht="15.75" x14ac:dyDescent="0.2">
      <c r="A14" s="5">
        <v>13</v>
      </c>
      <c r="B14" s="5">
        <v>2</v>
      </c>
      <c r="C14" s="5" t="s">
        <v>3</v>
      </c>
      <c r="D14" s="5" t="s">
        <v>98</v>
      </c>
      <c r="E14" s="5" t="s">
        <v>99</v>
      </c>
      <c r="F14" s="5" t="s">
        <v>64</v>
      </c>
      <c r="G14" s="5" t="s">
        <v>73</v>
      </c>
      <c r="H14" s="5" t="s">
        <v>93</v>
      </c>
      <c r="I14" s="5" t="s">
        <v>105</v>
      </c>
      <c r="J14" s="5">
        <v>2</v>
      </c>
      <c r="K14" s="5" t="s">
        <v>780</v>
      </c>
      <c r="L14" s="5">
        <v>3</v>
      </c>
      <c r="M14" s="5">
        <v>4.83575</v>
      </c>
      <c r="N14" s="5">
        <v>0.51257999999999981</v>
      </c>
      <c r="O14" s="5">
        <f t="shared" si="3"/>
        <v>0.88781460294365477</v>
      </c>
      <c r="P14" s="5">
        <v>3</v>
      </c>
      <c r="Q14" s="5">
        <v>6.5657100000000002</v>
      </c>
      <c r="R14" s="5">
        <v>0.24561000000000011</v>
      </c>
      <c r="S14" s="5">
        <f t="shared" si="4"/>
        <v>0.42540899884699213</v>
      </c>
      <c r="T14" s="5">
        <v>3</v>
      </c>
      <c r="U14" s="5" t="s">
        <v>104</v>
      </c>
      <c r="V14" s="5">
        <v>20</v>
      </c>
      <c r="W14" s="5">
        <f t="shared" si="7"/>
        <v>20000</v>
      </c>
      <c r="X14" s="5" t="str">
        <f t="shared" si="5"/>
        <v>High</v>
      </c>
      <c r="Y14" s="5" t="s">
        <v>112</v>
      </c>
      <c r="Z14" s="5">
        <f t="shared" si="0"/>
        <v>-0.30582441538344418</v>
      </c>
      <c r="AA14" s="5">
        <f t="shared" si="1"/>
        <v>1.1235583522444921E-2</v>
      </c>
      <c r="AB14" s="5">
        <f t="shared" si="2"/>
        <v>1.39935755604977E-3</v>
      </c>
      <c r="AC14" s="5">
        <f t="shared" si="6"/>
        <v>1.263494107849469E-2</v>
      </c>
      <c r="AD14" s="5" t="s">
        <v>100</v>
      </c>
      <c r="AF14" s="5" t="s">
        <v>108</v>
      </c>
    </row>
    <row r="15" spans="1:32" s="5" customFormat="1" ht="15" customHeight="1" x14ac:dyDescent="0.2">
      <c r="A15" s="5">
        <v>14</v>
      </c>
      <c r="B15" s="5">
        <v>2</v>
      </c>
      <c r="C15" s="5" t="s">
        <v>3</v>
      </c>
      <c r="D15" s="5" t="s">
        <v>98</v>
      </c>
      <c r="E15" s="5" t="s">
        <v>99</v>
      </c>
      <c r="F15" s="5" t="s">
        <v>64</v>
      </c>
      <c r="G15" s="5" t="s">
        <v>107</v>
      </c>
      <c r="H15" s="5" t="s">
        <v>93</v>
      </c>
      <c r="I15" s="5" t="s">
        <v>105</v>
      </c>
      <c r="J15" s="5">
        <v>2</v>
      </c>
      <c r="K15" s="5" t="s">
        <v>780</v>
      </c>
      <c r="L15" s="5">
        <v>3</v>
      </c>
      <c r="M15" s="5">
        <v>1.5209900000000001</v>
      </c>
      <c r="N15" s="5">
        <v>0.38554999999999984</v>
      </c>
      <c r="O15" s="5">
        <f t="shared" si="3"/>
        <v>0.66779218885818037</v>
      </c>
      <c r="P15" s="5">
        <v>3</v>
      </c>
      <c r="Q15" s="5">
        <v>1.7239100000000001</v>
      </c>
      <c r="R15" s="5">
        <v>0.36525000000000007</v>
      </c>
      <c r="S15" s="5">
        <f t="shared" si="4"/>
        <v>0.63263155746453248</v>
      </c>
      <c r="T15" s="5">
        <v>3</v>
      </c>
      <c r="U15" s="5" t="s">
        <v>101</v>
      </c>
      <c r="V15" s="5">
        <v>0.1</v>
      </c>
      <c r="W15" s="5">
        <f t="shared" si="7"/>
        <v>100</v>
      </c>
      <c r="X15" s="5" t="str">
        <f t="shared" si="5"/>
        <v>High</v>
      </c>
      <c r="Y15" s="5" t="s">
        <v>112</v>
      </c>
      <c r="Z15" s="5">
        <f t="shared" si="0"/>
        <v>-0.12523352806889818</v>
      </c>
      <c r="AA15" s="5">
        <f t="shared" si="1"/>
        <v>6.4255261810713407E-2</v>
      </c>
      <c r="AB15" s="5">
        <f t="shared" si="2"/>
        <v>4.4890172201991846E-2</v>
      </c>
      <c r="AC15" s="5">
        <f t="shared" si="6"/>
        <v>0.10914543401270525</v>
      </c>
      <c r="AD15" s="5" t="s">
        <v>100</v>
      </c>
      <c r="AF15" s="5" t="s">
        <v>664</v>
      </c>
    </row>
    <row r="16" spans="1:32" s="5" customFormat="1" ht="15.75" x14ac:dyDescent="0.2">
      <c r="A16" s="5">
        <v>15</v>
      </c>
      <c r="B16" s="5">
        <v>2</v>
      </c>
      <c r="C16" s="5" t="s">
        <v>3</v>
      </c>
      <c r="D16" s="5" t="s">
        <v>98</v>
      </c>
      <c r="E16" s="5" t="s">
        <v>99</v>
      </c>
      <c r="F16" s="5" t="s">
        <v>64</v>
      </c>
      <c r="G16" s="5" t="s">
        <v>107</v>
      </c>
      <c r="H16" s="5" t="s">
        <v>93</v>
      </c>
      <c r="I16" s="5" t="s">
        <v>105</v>
      </c>
      <c r="J16" s="5">
        <v>2</v>
      </c>
      <c r="K16" s="5" t="s">
        <v>780</v>
      </c>
      <c r="L16" s="5">
        <v>3</v>
      </c>
      <c r="M16" s="5">
        <v>1.5435399999999999</v>
      </c>
      <c r="N16" s="5">
        <v>0.36299999999999999</v>
      </c>
      <c r="O16" s="5">
        <f t="shared" si="3"/>
        <v>0.62873444314750238</v>
      </c>
      <c r="P16" s="5">
        <v>3</v>
      </c>
      <c r="Q16" s="5">
        <v>1.7239100000000001</v>
      </c>
      <c r="R16" s="5">
        <v>0.36525000000000007</v>
      </c>
      <c r="S16" s="5">
        <f t="shared" si="4"/>
        <v>0.63263155746453248</v>
      </c>
      <c r="T16" s="5">
        <v>3</v>
      </c>
      <c r="U16" s="5" t="s">
        <v>102</v>
      </c>
      <c r="V16" s="5">
        <v>1</v>
      </c>
      <c r="W16" s="5">
        <f t="shared" si="7"/>
        <v>1000</v>
      </c>
      <c r="X16" s="5" t="str">
        <f t="shared" si="5"/>
        <v>High</v>
      </c>
      <c r="Y16" s="5" t="s">
        <v>112</v>
      </c>
      <c r="Z16" s="5">
        <f t="shared" si="0"/>
        <v>-0.11051648695024012</v>
      </c>
      <c r="AA16" s="5">
        <f t="shared" si="1"/>
        <v>5.5306665241412409E-2</v>
      </c>
      <c r="AB16" s="5">
        <f t="shared" si="2"/>
        <v>4.4890172201991846E-2</v>
      </c>
      <c r="AC16" s="5">
        <f t="shared" si="6"/>
        <v>0.10019683744340425</v>
      </c>
      <c r="AD16" s="5" t="s">
        <v>100</v>
      </c>
      <c r="AF16" s="5" t="s">
        <v>109</v>
      </c>
    </row>
    <row r="17" spans="1:32" s="5" customFormat="1" ht="15.75" x14ac:dyDescent="0.2">
      <c r="A17" s="5">
        <v>16</v>
      </c>
      <c r="B17" s="5">
        <v>2</v>
      </c>
      <c r="C17" s="5" t="s">
        <v>3</v>
      </c>
      <c r="D17" s="5" t="s">
        <v>98</v>
      </c>
      <c r="E17" s="5" t="s">
        <v>99</v>
      </c>
      <c r="F17" s="5" t="s">
        <v>64</v>
      </c>
      <c r="G17" s="5" t="s">
        <v>107</v>
      </c>
      <c r="H17" s="5" t="s">
        <v>93</v>
      </c>
      <c r="I17" s="5" t="s">
        <v>105</v>
      </c>
      <c r="J17" s="5">
        <v>2</v>
      </c>
      <c r="K17" s="5" t="s">
        <v>780</v>
      </c>
      <c r="L17" s="5">
        <v>3</v>
      </c>
      <c r="M17" s="5">
        <v>1.22113</v>
      </c>
      <c r="N17" s="5">
        <v>0.10821999999999998</v>
      </c>
      <c r="O17" s="5">
        <f t="shared" si="3"/>
        <v>0.18744253839510386</v>
      </c>
      <c r="P17" s="5">
        <v>3</v>
      </c>
      <c r="Q17" s="5">
        <v>1.7239100000000001</v>
      </c>
      <c r="R17" s="5">
        <v>0.36525000000000007</v>
      </c>
      <c r="S17" s="5">
        <f t="shared" si="4"/>
        <v>0.63263155746453248</v>
      </c>
      <c r="T17" s="5">
        <v>3</v>
      </c>
      <c r="U17" s="5" t="s">
        <v>103</v>
      </c>
      <c r="V17" s="5">
        <v>10</v>
      </c>
      <c r="W17" s="5">
        <f t="shared" si="7"/>
        <v>10000</v>
      </c>
      <c r="X17" s="5" t="str">
        <f t="shared" si="5"/>
        <v>High</v>
      </c>
      <c r="Y17" s="5" t="s">
        <v>112</v>
      </c>
      <c r="Z17" s="5">
        <f t="shared" si="0"/>
        <v>-0.34481830713498363</v>
      </c>
      <c r="AA17" s="5">
        <f t="shared" si="1"/>
        <v>7.8540065200497083E-3</v>
      </c>
      <c r="AB17" s="5">
        <f t="shared" si="2"/>
        <v>4.4890172201991846E-2</v>
      </c>
      <c r="AC17" s="5">
        <f t="shared" si="6"/>
        <v>5.2744178722041554E-2</v>
      </c>
      <c r="AD17" s="5" t="s">
        <v>100</v>
      </c>
      <c r="AF17" s="5" t="s">
        <v>109</v>
      </c>
    </row>
    <row r="18" spans="1:32" s="5" customFormat="1" ht="15.75" x14ac:dyDescent="0.2">
      <c r="A18" s="5">
        <v>17</v>
      </c>
      <c r="B18" s="5">
        <v>2</v>
      </c>
      <c r="C18" s="5" t="s">
        <v>3</v>
      </c>
      <c r="D18" s="5" t="s">
        <v>98</v>
      </c>
      <c r="E18" s="5" t="s">
        <v>99</v>
      </c>
      <c r="F18" s="5" t="s">
        <v>64</v>
      </c>
      <c r="G18" s="5" t="s">
        <v>107</v>
      </c>
      <c r="H18" s="5" t="s">
        <v>93</v>
      </c>
      <c r="I18" s="5" t="s">
        <v>105</v>
      </c>
      <c r="J18" s="5">
        <v>2</v>
      </c>
      <c r="K18" s="5" t="s">
        <v>780</v>
      </c>
      <c r="L18" s="5">
        <v>3</v>
      </c>
      <c r="M18" s="5">
        <v>1.14672</v>
      </c>
      <c r="N18" s="5">
        <v>0.33143999999999996</v>
      </c>
      <c r="O18" s="5">
        <f t="shared" si="3"/>
        <v>0.57407091966062862</v>
      </c>
      <c r="P18" s="5">
        <v>3</v>
      </c>
      <c r="Q18" s="5">
        <v>1.7239100000000001</v>
      </c>
      <c r="R18" s="5">
        <v>0.36525000000000007</v>
      </c>
      <c r="S18" s="5">
        <f t="shared" si="4"/>
        <v>0.63263155746453248</v>
      </c>
      <c r="T18" s="5">
        <v>3</v>
      </c>
      <c r="U18" s="5" t="s">
        <v>104</v>
      </c>
      <c r="V18" s="5">
        <v>20</v>
      </c>
      <c r="W18" s="5">
        <f t="shared" si="7"/>
        <v>20000</v>
      </c>
      <c r="X18" s="5" t="str">
        <f t="shared" si="5"/>
        <v>High</v>
      </c>
      <c r="Y18" s="5" t="s">
        <v>112</v>
      </c>
      <c r="Z18" s="5">
        <f t="shared" si="0"/>
        <v>-0.40768927343900979</v>
      </c>
      <c r="AA18" s="5">
        <f t="shared" si="1"/>
        <v>8.3540114530092122E-2</v>
      </c>
      <c r="AB18" s="5">
        <f t="shared" si="2"/>
        <v>4.4890172201991846E-2</v>
      </c>
      <c r="AC18" s="5">
        <f t="shared" si="6"/>
        <v>0.12843028673208395</v>
      </c>
      <c r="AD18" s="5" t="s">
        <v>100</v>
      </c>
      <c r="AF18" s="5" t="s">
        <v>109</v>
      </c>
    </row>
    <row r="19" spans="1:32" s="5" customFormat="1" ht="15" customHeight="1" x14ac:dyDescent="0.2">
      <c r="A19" s="5">
        <v>18</v>
      </c>
      <c r="B19" s="5">
        <v>2</v>
      </c>
      <c r="C19" s="5" t="s">
        <v>3</v>
      </c>
      <c r="D19" s="5" t="s">
        <v>98</v>
      </c>
      <c r="E19" s="5" t="s">
        <v>99</v>
      </c>
      <c r="F19" s="5" t="s">
        <v>64</v>
      </c>
      <c r="G19" s="5" t="s">
        <v>73</v>
      </c>
      <c r="H19" s="5" t="s">
        <v>93</v>
      </c>
      <c r="I19" s="5" t="s">
        <v>105</v>
      </c>
      <c r="J19" s="5">
        <v>2</v>
      </c>
      <c r="K19" s="5" t="s">
        <v>780</v>
      </c>
      <c r="L19" s="5">
        <v>3</v>
      </c>
      <c r="M19" s="5">
        <v>1.0497700000000001</v>
      </c>
      <c r="N19" s="5">
        <v>0.15106999999999982</v>
      </c>
      <c r="O19" s="5">
        <f t="shared" si="3"/>
        <v>0.26166091549942994</v>
      </c>
      <c r="P19" s="5">
        <v>3</v>
      </c>
      <c r="Q19" s="5">
        <v>1.4353199999999999</v>
      </c>
      <c r="R19" s="5">
        <v>0.29986000000000002</v>
      </c>
      <c r="S19" s="5">
        <f t="shared" si="4"/>
        <v>0.51937275515760351</v>
      </c>
      <c r="T19" s="5">
        <v>3</v>
      </c>
      <c r="U19" s="5" t="s">
        <v>101</v>
      </c>
      <c r="V19" s="5">
        <v>0.1</v>
      </c>
      <c r="W19" s="5">
        <f t="shared" si="7"/>
        <v>100</v>
      </c>
      <c r="X19" s="5" t="str">
        <f t="shared" si="5"/>
        <v>High</v>
      </c>
      <c r="Y19" s="5" t="s">
        <v>112</v>
      </c>
      <c r="Z19" s="5">
        <f t="shared" si="0"/>
        <v>-0.31281672831128582</v>
      </c>
      <c r="AA19" s="5">
        <f t="shared" si="1"/>
        <v>2.0709429894884644E-2</v>
      </c>
      <c r="AB19" s="5">
        <f t="shared" si="2"/>
        <v>4.3645512798137977E-2</v>
      </c>
      <c r="AC19" s="5">
        <f t="shared" si="6"/>
        <v>6.4354942693022624E-2</v>
      </c>
      <c r="AD19" s="5" t="s">
        <v>100</v>
      </c>
      <c r="AF19" s="5" t="s">
        <v>109</v>
      </c>
    </row>
    <row r="20" spans="1:32" s="5" customFormat="1" ht="15.75" x14ac:dyDescent="0.2">
      <c r="A20" s="5">
        <v>19</v>
      </c>
      <c r="B20" s="5">
        <v>2</v>
      </c>
      <c r="C20" s="5" t="s">
        <v>3</v>
      </c>
      <c r="D20" s="5" t="s">
        <v>98</v>
      </c>
      <c r="E20" s="5" t="s">
        <v>99</v>
      </c>
      <c r="F20" s="5" t="s">
        <v>64</v>
      </c>
      <c r="G20" s="5" t="s">
        <v>73</v>
      </c>
      <c r="H20" s="5" t="s">
        <v>93</v>
      </c>
      <c r="I20" s="5" t="s">
        <v>105</v>
      </c>
      <c r="J20" s="5">
        <v>2</v>
      </c>
      <c r="K20" s="5" t="s">
        <v>780</v>
      </c>
      <c r="L20" s="5">
        <v>3</v>
      </c>
      <c r="M20" s="5">
        <v>1.16927</v>
      </c>
      <c r="N20" s="5">
        <v>7.4400000000000022E-2</v>
      </c>
      <c r="O20" s="5">
        <f t="shared" si="3"/>
        <v>0.12886458008312451</v>
      </c>
      <c r="P20" s="5">
        <v>3</v>
      </c>
      <c r="Q20" s="5">
        <v>1.4353199999999999</v>
      </c>
      <c r="R20" s="5">
        <v>0.29986000000000002</v>
      </c>
      <c r="S20" s="5">
        <f t="shared" si="4"/>
        <v>0.51937275515760351</v>
      </c>
      <c r="T20" s="5">
        <v>3</v>
      </c>
      <c r="U20" s="5" t="s">
        <v>102</v>
      </c>
      <c r="V20" s="5">
        <v>1</v>
      </c>
      <c r="W20" s="5">
        <f t="shared" si="7"/>
        <v>1000</v>
      </c>
      <c r="X20" s="5" t="str">
        <f t="shared" si="5"/>
        <v>High</v>
      </c>
      <c r="Y20" s="5" t="s">
        <v>112</v>
      </c>
      <c r="Z20" s="5">
        <f t="shared" si="0"/>
        <v>-0.20500819840784057</v>
      </c>
      <c r="AA20" s="5">
        <f t="shared" si="1"/>
        <v>4.0487061452859066E-3</v>
      </c>
      <c r="AB20" s="5">
        <f t="shared" si="2"/>
        <v>4.3645512798137977E-2</v>
      </c>
      <c r="AC20" s="5">
        <f t="shared" si="6"/>
        <v>4.7694218943423884E-2</v>
      </c>
      <c r="AD20" s="5" t="s">
        <v>100</v>
      </c>
      <c r="AF20" s="5" t="s">
        <v>109</v>
      </c>
    </row>
    <row r="21" spans="1:32" s="5" customFormat="1" ht="15.75" x14ac:dyDescent="0.2">
      <c r="A21" s="5">
        <v>20</v>
      </c>
      <c r="B21" s="5">
        <v>2</v>
      </c>
      <c r="C21" s="5" t="s">
        <v>3</v>
      </c>
      <c r="D21" s="5" t="s">
        <v>98</v>
      </c>
      <c r="E21" s="5" t="s">
        <v>99</v>
      </c>
      <c r="F21" s="5" t="s">
        <v>64</v>
      </c>
      <c r="G21" s="5" t="s">
        <v>73</v>
      </c>
      <c r="H21" s="5" t="s">
        <v>93</v>
      </c>
      <c r="I21" s="5" t="s">
        <v>105</v>
      </c>
      <c r="J21" s="5">
        <v>2</v>
      </c>
      <c r="K21" s="5" t="s">
        <v>780</v>
      </c>
      <c r="L21" s="5">
        <v>3</v>
      </c>
      <c r="M21" s="5">
        <v>0.85812999999999995</v>
      </c>
      <c r="N21" s="5">
        <v>6.3130000000000019E-2</v>
      </c>
      <c r="O21" s="5">
        <f t="shared" si="3"/>
        <v>0.10934436748182325</v>
      </c>
      <c r="P21" s="5">
        <v>3</v>
      </c>
      <c r="Q21" s="5">
        <v>1.4353199999999999</v>
      </c>
      <c r="R21" s="5">
        <v>0.29986000000000002</v>
      </c>
      <c r="S21" s="5">
        <f t="shared" si="4"/>
        <v>0.51937275515760351</v>
      </c>
      <c r="T21" s="5">
        <v>3</v>
      </c>
      <c r="U21" s="5" t="s">
        <v>103</v>
      </c>
      <c r="V21" s="5">
        <v>10</v>
      </c>
      <c r="W21" s="5">
        <f t="shared" si="7"/>
        <v>10000</v>
      </c>
      <c r="X21" s="5" t="str">
        <f t="shared" si="5"/>
        <v>High</v>
      </c>
      <c r="Y21" s="5" t="s">
        <v>112</v>
      </c>
      <c r="Z21" s="5">
        <f t="shared" si="0"/>
        <v>-0.51438749668715755</v>
      </c>
      <c r="AA21" s="5">
        <f t="shared" si="1"/>
        <v>5.4120949657829364E-3</v>
      </c>
      <c r="AB21" s="5">
        <f t="shared" si="2"/>
        <v>4.3645512798137977E-2</v>
      </c>
      <c r="AC21" s="5">
        <f t="shared" si="6"/>
        <v>4.9057607763920916E-2</v>
      </c>
      <c r="AD21" s="5" t="s">
        <v>100</v>
      </c>
      <c r="AF21" s="5" t="s">
        <v>109</v>
      </c>
    </row>
    <row r="22" spans="1:32" s="5" customFormat="1" ht="15.75" x14ac:dyDescent="0.2">
      <c r="A22" s="5">
        <v>21</v>
      </c>
      <c r="B22" s="5">
        <v>2</v>
      </c>
      <c r="C22" s="5" t="s">
        <v>3</v>
      </c>
      <c r="D22" s="5" t="s">
        <v>98</v>
      </c>
      <c r="E22" s="5" t="s">
        <v>99</v>
      </c>
      <c r="F22" s="5" t="s">
        <v>64</v>
      </c>
      <c r="G22" s="5" t="s">
        <v>73</v>
      </c>
      <c r="H22" s="5" t="s">
        <v>93</v>
      </c>
      <c r="I22" s="5" t="s">
        <v>105</v>
      </c>
      <c r="J22" s="5">
        <v>2</v>
      </c>
      <c r="K22" s="5" t="s">
        <v>780</v>
      </c>
      <c r="L22" s="5">
        <v>3</v>
      </c>
      <c r="M22" s="5">
        <v>0.71833999999999998</v>
      </c>
      <c r="N22" s="5">
        <v>0.15105999999999997</v>
      </c>
      <c r="O22" s="5">
        <f t="shared" si="3"/>
        <v>0.26164359499135453</v>
      </c>
      <c r="P22" s="5">
        <v>3</v>
      </c>
      <c r="Q22" s="5">
        <v>1.4353199999999999</v>
      </c>
      <c r="R22" s="5">
        <v>0.29986000000000002</v>
      </c>
      <c r="S22" s="5">
        <f t="shared" si="4"/>
        <v>0.51937275515760351</v>
      </c>
      <c r="T22" s="5">
        <v>3</v>
      </c>
      <c r="U22" s="5" t="s">
        <v>104</v>
      </c>
      <c r="V22" s="5">
        <v>20</v>
      </c>
      <c r="W22" s="5">
        <f t="shared" si="7"/>
        <v>20000</v>
      </c>
      <c r="X22" s="5" t="str">
        <f t="shared" si="5"/>
        <v>High</v>
      </c>
      <c r="Y22" s="5" t="s">
        <v>112</v>
      </c>
      <c r="Z22" s="5">
        <f t="shared" si="0"/>
        <v>-0.69220010528024145</v>
      </c>
      <c r="AA22" s="5">
        <f t="shared" si="1"/>
        <v>4.4222048856692127E-2</v>
      </c>
      <c r="AB22" s="5">
        <f t="shared" si="2"/>
        <v>4.3645512798137977E-2</v>
      </c>
      <c r="AC22" s="5">
        <f t="shared" si="6"/>
        <v>8.7867561654830104E-2</v>
      </c>
      <c r="AD22" s="5" t="s">
        <v>100</v>
      </c>
      <c r="AF22" s="5" t="s">
        <v>109</v>
      </c>
    </row>
    <row r="23" spans="1:32" s="5" customFormat="1" ht="15" customHeight="1" x14ac:dyDescent="0.2">
      <c r="A23" s="5">
        <v>22</v>
      </c>
      <c r="B23" s="5">
        <v>2</v>
      </c>
      <c r="C23" s="5" t="s">
        <v>3</v>
      </c>
      <c r="D23" s="5" t="s">
        <v>98</v>
      </c>
      <c r="E23" s="5" t="s">
        <v>99</v>
      </c>
      <c r="F23" s="5" t="s">
        <v>64</v>
      </c>
      <c r="G23" s="5" t="s">
        <v>107</v>
      </c>
      <c r="H23" s="5" t="s">
        <v>93</v>
      </c>
      <c r="I23" s="5" t="s">
        <v>105</v>
      </c>
      <c r="J23" s="5">
        <v>2</v>
      </c>
      <c r="K23" s="5" t="s">
        <v>780</v>
      </c>
      <c r="L23" s="5">
        <v>3</v>
      </c>
      <c r="M23" s="5">
        <v>0.78459999999999996</v>
      </c>
      <c r="N23" s="5">
        <v>2.3050000000000015E-2</v>
      </c>
      <c r="O23" s="5">
        <f t="shared" si="3"/>
        <v>3.9923771114462644E-2</v>
      </c>
      <c r="P23" s="5">
        <v>3</v>
      </c>
      <c r="Q23" s="5">
        <v>0.79652000000000001</v>
      </c>
      <c r="R23" s="5">
        <v>1.8279999999999963E-2</v>
      </c>
      <c r="S23" s="5">
        <f t="shared" si="4"/>
        <v>3.1661888762359008E-2</v>
      </c>
      <c r="T23" s="5">
        <v>3</v>
      </c>
      <c r="U23" s="5" t="s">
        <v>101</v>
      </c>
      <c r="V23" s="5">
        <v>0.1</v>
      </c>
      <c r="W23" s="5">
        <f t="shared" si="7"/>
        <v>100</v>
      </c>
      <c r="X23" s="5" t="str">
        <f t="shared" si="5"/>
        <v>High</v>
      </c>
      <c r="Y23" s="5" t="s">
        <v>112</v>
      </c>
      <c r="Z23" s="5">
        <f t="shared" si="0"/>
        <v>-1.5078205115022211E-2</v>
      </c>
      <c r="AA23" s="5">
        <f t="shared" si="1"/>
        <v>8.6306847159593888E-4</v>
      </c>
      <c r="AB23" s="5">
        <f t="shared" si="2"/>
        <v>5.2669477818829556E-4</v>
      </c>
      <c r="AC23" s="5">
        <f t="shared" si="6"/>
        <v>1.3897632497842346E-3</v>
      </c>
      <c r="AD23" s="5" t="s">
        <v>100</v>
      </c>
      <c r="AF23" s="5" t="s">
        <v>665</v>
      </c>
    </row>
    <row r="24" spans="1:32" s="5" customFormat="1" ht="15.75" x14ac:dyDescent="0.2">
      <c r="A24" s="5">
        <v>23</v>
      </c>
      <c r="B24" s="5">
        <v>2</v>
      </c>
      <c r="C24" s="5" t="s">
        <v>3</v>
      </c>
      <c r="D24" s="5" t="s">
        <v>98</v>
      </c>
      <c r="E24" s="5" t="s">
        <v>99</v>
      </c>
      <c r="F24" s="5" t="s">
        <v>64</v>
      </c>
      <c r="G24" s="5" t="s">
        <v>107</v>
      </c>
      <c r="H24" s="5" t="s">
        <v>93</v>
      </c>
      <c r="I24" s="5" t="s">
        <v>105</v>
      </c>
      <c r="J24" s="5">
        <v>2</v>
      </c>
      <c r="K24" s="5" t="s">
        <v>780</v>
      </c>
      <c r="L24" s="5">
        <v>3</v>
      </c>
      <c r="M24" s="5">
        <v>0.75121000000000004</v>
      </c>
      <c r="N24" s="5">
        <v>2.2259999999999946E-2</v>
      </c>
      <c r="O24" s="5">
        <f t="shared" si="3"/>
        <v>3.8555450976483115E-2</v>
      </c>
      <c r="P24" s="5">
        <v>3</v>
      </c>
      <c r="Q24" s="5">
        <v>0.79652000000000001</v>
      </c>
      <c r="R24" s="5">
        <v>1.8279999999999963E-2</v>
      </c>
      <c r="S24" s="5">
        <f t="shared" si="4"/>
        <v>3.1661888762359008E-2</v>
      </c>
      <c r="T24" s="5">
        <v>3</v>
      </c>
      <c r="U24" s="5" t="s">
        <v>102</v>
      </c>
      <c r="V24" s="5">
        <v>1</v>
      </c>
      <c r="W24" s="5">
        <f t="shared" si="7"/>
        <v>1000</v>
      </c>
      <c r="X24" s="5" t="str">
        <f t="shared" si="5"/>
        <v>High</v>
      </c>
      <c r="Y24" s="5" t="s">
        <v>112</v>
      </c>
      <c r="Z24" s="5">
        <f t="shared" si="0"/>
        <v>-5.85669990509467E-2</v>
      </c>
      <c r="AA24" s="5">
        <f t="shared" si="1"/>
        <v>8.7806688537832712E-4</v>
      </c>
      <c r="AB24" s="5">
        <f t="shared" si="2"/>
        <v>5.2669477818829556E-4</v>
      </c>
      <c r="AC24" s="5">
        <f t="shared" si="6"/>
        <v>1.4047616635666227E-3</v>
      </c>
      <c r="AD24" s="5" t="s">
        <v>100</v>
      </c>
      <c r="AF24" s="5" t="s">
        <v>110</v>
      </c>
    </row>
    <row r="25" spans="1:32" s="5" customFormat="1" ht="15.75" x14ac:dyDescent="0.2">
      <c r="A25" s="5">
        <v>24</v>
      </c>
      <c r="B25" s="5">
        <v>2</v>
      </c>
      <c r="C25" s="5" t="s">
        <v>3</v>
      </c>
      <c r="D25" s="5" t="s">
        <v>98</v>
      </c>
      <c r="E25" s="5" t="s">
        <v>99</v>
      </c>
      <c r="F25" s="5" t="s">
        <v>64</v>
      </c>
      <c r="G25" s="5" t="s">
        <v>107</v>
      </c>
      <c r="H25" s="5" t="s">
        <v>93</v>
      </c>
      <c r="I25" s="5" t="s">
        <v>105</v>
      </c>
      <c r="J25" s="5">
        <v>2</v>
      </c>
      <c r="K25" s="5" t="s">
        <v>780</v>
      </c>
      <c r="L25" s="5">
        <v>3</v>
      </c>
      <c r="M25" s="5">
        <v>0.76632</v>
      </c>
      <c r="N25" s="5">
        <v>2.5000000000000001E-2</v>
      </c>
      <c r="O25" s="5">
        <f t="shared" si="3"/>
        <v>4.3301270189221933E-2</v>
      </c>
      <c r="P25" s="5">
        <v>3</v>
      </c>
      <c r="Q25" s="5">
        <v>0.79652000000000001</v>
      </c>
      <c r="R25" s="5">
        <v>1.24E-2</v>
      </c>
      <c r="S25" s="5">
        <f t="shared" si="4"/>
        <v>2.1477430013854076E-2</v>
      </c>
      <c r="T25" s="5">
        <v>3</v>
      </c>
      <c r="U25" s="5" t="s">
        <v>103</v>
      </c>
      <c r="V25" s="5">
        <v>10</v>
      </c>
      <c r="W25" s="5">
        <f t="shared" si="7"/>
        <v>10000</v>
      </c>
      <c r="X25" s="5" t="str">
        <f t="shared" si="5"/>
        <v>High</v>
      </c>
      <c r="Y25" s="5" t="s">
        <v>112</v>
      </c>
      <c r="Z25" s="5">
        <f t="shared" si="0"/>
        <v>-3.865240181583815E-2</v>
      </c>
      <c r="AA25" s="5">
        <f t="shared" si="1"/>
        <v>1.0642893022470019E-3</v>
      </c>
      <c r="AB25" s="5">
        <f t="shared" si="2"/>
        <v>2.4235389292692527E-4</v>
      </c>
      <c r="AC25" s="5">
        <f t="shared" si="6"/>
        <v>1.3066431951739271E-3</v>
      </c>
      <c r="AD25" s="5" t="s">
        <v>100</v>
      </c>
      <c r="AF25" s="5" t="s">
        <v>110</v>
      </c>
    </row>
    <row r="26" spans="1:32" s="5" customFormat="1" ht="15.75" x14ac:dyDescent="0.2">
      <c r="A26" s="5">
        <v>25</v>
      </c>
      <c r="B26" s="5">
        <v>2</v>
      </c>
      <c r="C26" s="5" t="s">
        <v>3</v>
      </c>
      <c r="D26" s="5" t="s">
        <v>98</v>
      </c>
      <c r="E26" s="5" t="s">
        <v>99</v>
      </c>
      <c r="F26" s="5" t="s">
        <v>64</v>
      </c>
      <c r="G26" s="5" t="s">
        <v>107</v>
      </c>
      <c r="H26" s="5" t="s">
        <v>93</v>
      </c>
      <c r="I26" s="5" t="s">
        <v>105</v>
      </c>
      <c r="J26" s="5">
        <v>2</v>
      </c>
      <c r="K26" s="5" t="s">
        <v>780</v>
      </c>
      <c r="L26" s="5">
        <v>3</v>
      </c>
      <c r="M26" s="5">
        <v>0.72816000000000003</v>
      </c>
      <c r="N26" s="5">
        <v>4.927999999999999E-2</v>
      </c>
      <c r="O26" s="5">
        <f t="shared" si="3"/>
        <v>8.5355463796994255E-2</v>
      </c>
      <c r="P26" s="5">
        <v>3</v>
      </c>
      <c r="Q26" s="5">
        <v>0.79652000000000001</v>
      </c>
      <c r="R26" s="5">
        <v>1.8279999999999963E-2</v>
      </c>
      <c r="S26" s="5">
        <f t="shared" si="4"/>
        <v>3.1661888762359008E-2</v>
      </c>
      <c r="T26" s="5">
        <v>3</v>
      </c>
      <c r="U26" s="5" t="s">
        <v>104</v>
      </c>
      <c r="V26" s="5">
        <v>20</v>
      </c>
      <c r="W26" s="5">
        <f t="shared" si="7"/>
        <v>20000</v>
      </c>
      <c r="X26" s="5" t="str">
        <f t="shared" si="5"/>
        <v>High</v>
      </c>
      <c r="Y26" s="5" t="s">
        <v>112</v>
      </c>
      <c r="Z26" s="5">
        <f t="shared" si="0"/>
        <v>-8.97314346221426E-2</v>
      </c>
      <c r="AA26" s="5">
        <f t="shared" si="1"/>
        <v>4.5802350093553821E-3</v>
      </c>
      <c r="AB26" s="5">
        <f t="shared" si="2"/>
        <v>5.2669477818829556E-4</v>
      </c>
      <c r="AC26" s="5">
        <f t="shared" si="6"/>
        <v>5.1069297875436775E-3</v>
      </c>
      <c r="AD26" s="5" t="s">
        <v>100</v>
      </c>
      <c r="AF26" s="5" t="s">
        <v>110</v>
      </c>
    </row>
    <row r="27" spans="1:32" s="5" customFormat="1" ht="15" customHeight="1" x14ac:dyDescent="0.2">
      <c r="A27" s="5">
        <v>26</v>
      </c>
      <c r="B27" s="5">
        <v>2</v>
      </c>
      <c r="C27" s="5" t="s">
        <v>3</v>
      </c>
      <c r="D27" s="5" t="s">
        <v>98</v>
      </c>
      <c r="E27" s="5" t="s">
        <v>99</v>
      </c>
      <c r="F27" s="5" t="s">
        <v>64</v>
      </c>
      <c r="G27" s="5" t="s">
        <v>73</v>
      </c>
      <c r="H27" s="5" t="s">
        <v>93</v>
      </c>
      <c r="I27" s="5" t="s">
        <v>105</v>
      </c>
      <c r="J27" s="5">
        <v>2</v>
      </c>
      <c r="K27" s="5" t="s">
        <v>780</v>
      </c>
      <c r="L27" s="5">
        <v>3</v>
      </c>
      <c r="M27" s="5">
        <v>0.48325000000000001</v>
      </c>
      <c r="N27" s="5">
        <v>1.1929999999999941E-2</v>
      </c>
      <c r="O27" s="5">
        <f t="shared" si="3"/>
        <v>2.0663366134296601E-2</v>
      </c>
      <c r="P27" s="5">
        <v>3</v>
      </c>
      <c r="Q27" s="5">
        <v>0.49764000000000003</v>
      </c>
      <c r="R27" s="5">
        <v>4.2129999999999945E-2</v>
      </c>
      <c r="S27" s="5">
        <f t="shared" si="4"/>
        <v>7.2971300522876703E-2</v>
      </c>
      <c r="T27" s="5">
        <v>3</v>
      </c>
      <c r="U27" s="5" t="s">
        <v>101</v>
      </c>
      <c r="V27" s="5">
        <v>0.1</v>
      </c>
      <c r="W27" s="5">
        <f t="shared" si="7"/>
        <v>100</v>
      </c>
      <c r="X27" s="5" t="str">
        <f t="shared" si="5"/>
        <v>High</v>
      </c>
      <c r="Y27" s="5" t="s">
        <v>112</v>
      </c>
      <c r="Z27" s="5">
        <f t="shared" si="0"/>
        <v>-2.9342805957849952E-2</v>
      </c>
      <c r="AA27" s="5">
        <f t="shared" si="1"/>
        <v>6.0944870973793223E-4</v>
      </c>
      <c r="AB27" s="5">
        <f t="shared" si="2"/>
        <v>7.1672467343829082E-3</v>
      </c>
      <c r="AC27" s="5">
        <f t="shared" si="6"/>
        <v>7.7766954441208401E-3</v>
      </c>
      <c r="AD27" s="5" t="s">
        <v>100</v>
      </c>
      <c r="AF27" s="5" t="s">
        <v>110</v>
      </c>
    </row>
    <row r="28" spans="1:32" s="5" customFormat="1" ht="15.75" x14ac:dyDescent="0.2">
      <c r="A28" s="5">
        <v>27</v>
      </c>
      <c r="B28" s="5">
        <v>2</v>
      </c>
      <c r="C28" s="5" t="s">
        <v>3</v>
      </c>
      <c r="D28" s="5" t="s">
        <v>98</v>
      </c>
      <c r="E28" s="5" t="s">
        <v>99</v>
      </c>
      <c r="F28" s="5" t="s">
        <v>64</v>
      </c>
      <c r="G28" s="5" t="s">
        <v>73</v>
      </c>
      <c r="H28" s="5" t="s">
        <v>93</v>
      </c>
      <c r="I28" s="5" t="s">
        <v>105</v>
      </c>
      <c r="J28" s="5">
        <v>2</v>
      </c>
      <c r="K28" s="5" t="s">
        <v>778</v>
      </c>
      <c r="L28" s="5">
        <v>3</v>
      </c>
      <c r="M28" s="5">
        <v>0.49446000000000001</v>
      </c>
      <c r="N28" s="5">
        <v>3.7359999999999949E-2</v>
      </c>
      <c r="O28" s="5">
        <f t="shared" si="3"/>
        <v>6.4709418170773164E-2</v>
      </c>
      <c r="P28" s="5">
        <v>3</v>
      </c>
      <c r="Q28" s="5">
        <v>0.49764000000000003</v>
      </c>
      <c r="R28" s="5">
        <v>4.2129999999999945E-2</v>
      </c>
      <c r="S28" s="5">
        <f t="shared" si="4"/>
        <v>7.2971300522876703E-2</v>
      </c>
      <c r="T28" s="5">
        <v>3</v>
      </c>
      <c r="U28" s="5" t="s">
        <v>102</v>
      </c>
      <c r="V28" s="5">
        <v>1</v>
      </c>
      <c r="W28" s="5">
        <f t="shared" si="7"/>
        <v>1000</v>
      </c>
      <c r="X28" s="5" t="str">
        <f t="shared" si="5"/>
        <v>High</v>
      </c>
      <c r="Y28" s="5" t="s">
        <v>112</v>
      </c>
      <c r="Z28" s="5">
        <f t="shared" si="0"/>
        <v>-6.4106660429431427E-3</v>
      </c>
      <c r="AA28" s="5">
        <f t="shared" si="1"/>
        <v>5.7088864646166184E-3</v>
      </c>
      <c r="AB28" s="5">
        <f t="shared" si="2"/>
        <v>7.1672467343829082E-3</v>
      </c>
      <c r="AC28" s="5">
        <f t="shared" si="6"/>
        <v>1.2876133198999527E-2</v>
      </c>
      <c r="AD28" s="5" t="s">
        <v>100</v>
      </c>
      <c r="AF28" s="5" t="s">
        <v>110</v>
      </c>
    </row>
    <row r="29" spans="1:32" s="5" customFormat="1" ht="15.75" x14ac:dyDescent="0.2">
      <c r="A29" s="5">
        <v>28</v>
      </c>
      <c r="B29" s="5">
        <v>2</v>
      </c>
      <c r="C29" s="5" t="s">
        <v>3</v>
      </c>
      <c r="D29" s="5" t="s">
        <v>98</v>
      </c>
      <c r="E29" s="5" t="s">
        <v>99</v>
      </c>
      <c r="F29" s="5" t="s">
        <v>64</v>
      </c>
      <c r="G29" s="5" t="s">
        <v>73</v>
      </c>
      <c r="H29" s="5" t="s">
        <v>93</v>
      </c>
      <c r="I29" s="5" t="s">
        <v>105</v>
      </c>
      <c r="J29" s="5">
        <v>2</v>
      </c>
      <c r="K29" s="5" t="s">
        <v>778</v>
      </c>
      <c r="L29" s="5">
        <v>3</v>
      </c>
      <c r="M29" s="5">
        <v>0.49547999999999998</v>
      </c>
      <c r="N29" s="5">
        <v>3.0200000000000005E-2</v>
      </c>
      <c r="O29" s="5">
        <f t="shared" si="3"/>
        <v>5.2307934388580099E-2</v>
      </c>
      <c r="P29" s="5">
        <v>3</v>
      </c>
      <c r="Q29" s="5">
        <v>0.49764000000000003</v>
      </c>
      <c r="R29" s="5">
        <v>4.2129999999999945E-2</v>
      </c>
      <c r="S29" s="5">
        <f t="shared" si="4"/>
        <v>7.2971300522876703E-2</v>
      </c>
      <c r="T29" s="5">
        <v>3</v>
      </c>
      <c r="U29" s="5" t="s">
        <v>103</v>
      </c>
      <c r="V29" s="5">
        <v>10</v>
      </c>
      <c r="W29" s="5">
        <f t="shared" si="7"/>
        <v>10000</v>
      </c>
      <c r="X29" s="5" t="str">
        <f t="shared" si="5"/>
        <v>High</v>
      </c>
      <c r="Y29" s="5" t="s">
        <v>112</v>
      </c>
      <c r="Z29" s="5">
        <f t="shared" si="0"/>
        <v>-4.3499343602911205E-3</v>
      </c>
      <c r="AA29" s="5">
        <f t="shared" si="1"/>
        <v>3.7150240368784304E-3</v>
      </c>
      <c r="AB29" s="5">
        <f t="shared" si="2"/>
        <v>7.1672467343829082E-3</v>
      </c>
      <c r="AC29" s="5">
        <f t="shared" si="6"/>
        <v>1.0882270771261339E-2</v>
      </c>
      <c r="AD29" s="5" t="s">
        <v>100</v>
      </c>
      <c r="AF29" s="5" t="s">
        <v>110</v>
      </c>
    </row>
    <row r="30" spans="1:32" s="5" customFormat="1" ht="15.75" x14ac:dyDescent="0.2">
      <c r="A30" s="5">
        <v>29</v>
      </c>
      <c r="B30" s="5">
        <v>2</v>
      </c>
      <c r="C30" s="5" t="s">
        <v>3</v>
      </c>
      <c r="D30" s="5" t="s">
        <v>98</v>
      </c>
      <c r="E30" s="5" t="s">
        <v>99</v>
      </c>
      <c r="F30" s="5" t="s">
        <v>64</v>
      </c>
      <c r="G30" s="5" t="s">
        <v>73</v>
      </c>
      <c r="H30" s="5" t="s">
        <v>93</v>
      </c>
      <c r="I30" s="5" t="s">
        <v>105</v>
      </c>
      <c r="J30" s="5">
        <v>2</v>
      </c>
      <c r="K30" s="5" t="s">
        <v>778</v>
      </c>
      <c r="L30" s="5">
        <v>3</v>
      </c>
      <c r="M30" s="5">
        <v>0.39191999999999999</v>
      </c>
      <c r="N30" s="5">
        <v>4.5310000000000017E-2</v>
      </c>
      <c r="O30" s="5">
        <f t="shared" si="3"/>
        <v>7.8479222090945849E-2</v>
      </c>
      <c r="P30" s="5">
        <v>3</v>
      </c>
      <c r="Q30" s="5">
        <v>0.49764000000000003</v>
      </c>
      <c r="R30" s="5">
        <v>4.2129999999999945E-2</v>
      </c>
      <c r="S30" s="5">
        <f t="shared" si="4"/>
        <v>7.2971300522876703E-2</v>
      </c>
      <c r="T30" s="5">
        <v>3</v>
      </c>
      <c r="U30" s="5" t="s">
        <v>104</v>
      </c>
      <c r="V30" s="5">
        <v>20</v>
      </c>
      <c r="W30" s="5">
        <f t="shared" si="7"/>
        <v>20000</v>
      </c>
      <c r="X30" s="5" t="str">
        <f t="shared" si="5"/>
        <v>High</v>
      </c>
      <c r="Y30" s="5" t="s">
        <v>112</v>
      </c>
      <c r="Z30" s="5">
        <f t="shared" si="0"/>
        <v>-0.23881918671597094</v>
      </c>
      <c r="AA30" s="5">
        <f t="shared" si="1"/>
        <v>1.3365748087901438E-2</v>
      </c>
      <c r="AB30" s="5">
        <f t="shared" si="2"/>
        <v>7.1672467343829082E-3</v>
      </c>
      <c r="AC30" s="5">
        <f t="shared" si="6"/>
        <v>2.0532994822284347E-2</v>
      </c>
      <c r="AD30" s="5" t="s">
        <v>100</v>
      </c>
      <c r="AF30" s="5" t="s">
        <v>110</v>
      </c>
    </row>
    <row r="31" spans="1:32" s="8" customFormat="1" ht="15.75" x14ac:dyDescent="0.2">
      <c r="A31" s="8">
        <v>30</v>
      </c>
      <c r="B31" s="8">
        <v>3</v>
      </c>
      <c r="C31" s="8" t="s">
        <v>130</v>
      </c>
      <c r="D31" s="8" t="s">
        <v>131</v>
      </c>
      <c r="E31" s="8" t="s">
        <v>132</v>
      </c>
      <c r="F31" s="8" t="s">
        <v>133</v>
      </c>
      <c r="G31" s="8" t="s">
        <v>73</v>
      </c>
      <c r="H31" s="8" t="s">
        <v>140</v>
      </c>
      <c r="I31" s="8" t="s">
        <v>105</v>
      </c>
      <c r="J31" s="8">
        <v>3</v>
      </c>
      <c r="K31" s="8" t="s">
        <v>153</v>
      </c>
      <c r="L31" s="8">
        <v>3</v>
      </c>
      <c r="M31" s="8">
        <v>3.9623200000000001</v>
      </c>
      <c r="N31" s="8">
        <v>0.17982000000000031</v>
      </c>
      <c r="O31" s="8">
        <f t="shared" si="3"/>
        <v>0.31145737621703606</v>
      </c>
      <c r="P31" s="8">
        <v>3</v>
      </c>
      <c r="Q31" s="8">
        <v>4.0089399999999999</v>
      </c>
      <c r="R31" s="8">
        <v>0.13320000000000043</v>
      </c>
      <c r="S31" s="8">
        <f t="shared" si="4"/>
        <v>0.23070916756817519</v>
      </c>
      <c r="T31" s="8">
        <v>3</v>
      </c>
      <c r="U31" s="8" t="s">
        <v>136</v>
      </c>
      <c r="V31" s="8">
        <v>1</v>
      </c>
      <c r="W31" s="8">
        <f t="shared" si="7"/>
        <v>1000</v>
      </c>
      <c r="X31" s="8" t="str">
        <f t="shared" si="5"/>
        <v>High</v>
      </c>
      <c r="Y31" s="8" t="s">
        <v>135</v>
      </c>
      <c r="Z31" s="8">
        <f t="shared" si="0"/>
        <v>-1.1697154918501112E-2</v>
      </c>
      <c r="AA31" s="8">
        <f t="shared" si="1"/>
        <v>2.059571594878649E-3</v>
      </c>
      <c r="AB31" s="8">
        <f t="shared" si="2"/>
        <v>1.1039498297830883E-3</v>
      </c>
      <c r="AC31" s="8">
        <f t="shared" si="6"/>
        <v>3.1635214246617371E-3</v>
      </c>
      <c r="AD31" s="8" t="s">
        <v>134</v>
      </c>
      <c r="AF31" s="8" t="s">
        <v>150</v>
      </c>
    </row>
    <row r="32" spans="1:32" s="8" customFormat="1" ht="15.75" x14ac:dyDescent="0.2">
      <c r="A32" s="8">
        <v>31</v>
      </c>
      <c r="B32" s="8">
        <v>3</v>
      </c>
      <c r="C32" s="8" t="s">
        <v>130</v>
      </c>
      <c r="D32" s="8" t="s">
        <v>131</v>
      </c>
      <c r="E32" s="8" t="s">
        <v>132</v>
      </c>
      <c r="F32" s="8" t="s">
        <v>133</v>
      </c>
      <c r="G32" s="8" t="s">
        <v>73</v>
      </c>
      <c r="H32" s="8" t="s">
        <v>140</v>
      </c>
      <c r="I32" s="8" t="s">
        <v>105</v>
      </c>
      <c r="J32" s="8">
        <v>3</v>
      </c>
      <c r="K32" s="8" t="s">
        <v>153</v>
      </c>
      <c r="L32" s="8">
        <v>3</v>
      </c>
      <c r="M32" s="8">
        <v>4.1421400000000004</v>
      </c>
      <c r="N32" s="8">
        <v>0.20646999999999949</v>
      </c>
      <c r="O32" s="8">
        <f t="shared" si="3"/>
        <v>0.35761653023874518</v>
      </c>
      <c r="P32" s="8">
        <v>3</v>
      </c>
      <c r="Q32" s="8">
        <v>4.0089399999999999</v>
      </c>
      <c r="R32" s="8">
        <v>0.13320000000000043</v>
      </c>
      <c r="S32" s="8">
        <f t="shared" si="4"/>
        <v>0.23070916756817519</v>
      </c>
      <c r="T32" s="8">
        <v>3</v>
      </c>
      <c r="U32" s="8" t="s">
        <v>137</v>
      </c>
      <c r="V32" s="8">
        <v>10</v>
      </c>
      <c r="W32" s="8">
        <f t="shared" si="7"/>
        <v>10000</v>
      </c>
      <c r="X32" s="8" t="str">
        <f t="shared" si="5"/>
        <v>High</v>
      </c>
      <c r="Y32" s="8" t="s">
        <v>135</v>
      </c>
      <c r="Z32" s="8">
        <f t="shared" si="0"/>
        <v>3.2685695276147536E-2</v>
      </c>
      <c r="AA32" s="8">
        <f t="shared" si="1"/>
        <v>2.4846451257559492E-3</v>
      </c>
      <c r="AB32" s="8">
        <f t="shared" si="2"/>
        <v>1.1039498297830883E-3</v>
      </c>
      <c r="AC32" s="8">
        <f t="shared" si="6"/>
        <v>3.5885949555390373E-3</v>
      </c>
      <c r="AD32" s="8" t="s">
        <v>134</v>
      </c>
      <c r="AF32" s="8" t="s">
        <v>150</v>
      </c>
    </row>
    <row r="33" spans="1:32" s="8" customFormat="1" ht="15.75" x14ac:dyDescent="0.2">
      <c r="A33" s="8">
        <v>32</v>
      </c>
      <c r="B33" s="8">
        <v>3</v>
      </c>
      <c r="C33" s="8" t="s">
        <v>130</v>
      </c>
      <c r="D33" s="8" t="s">
        <v>131</v>
      </c>
      <c r="E33" s="8" t="s">
        <v>132</v>
      </c>
      <c r="F33" s="8" t="s">
        <v>133</v>
      </c>
      <c r="G33" s="8" t="s">
        <v>73</v>
      </c>
      <c r="H33" s="8" t="s">
        <v>140</v>
      </c>
      <c r="I33" s="8" t="s">
        <v>105</v>
      </c>
      <c r="J33" s="8">
        <v>3</v>
      </c>
      <c r="K33" s="8" t="s">
        <v>153</v>
      </c>
      <c r="L33" s="8">
        <v>3</v>
      </c>
      <c r="M33" s="8">
        <v>3.88239</v>
      </c>
      <c r="N33" s="8">
        <v>0.10657000000000005</v>
      </c>
      <c r="O33" s="8">
        <f t="shared" si="3"/>
        <v>0.18458465456261533</v>
      </c>
      <c r="P33" s="8">
        <v>3</v>
      </c>
      <c r="Q33" s="8">
        <v>4.0089399999999999</v>
      </c>
      <c r="R33" s="8">
        <v>0.13320000000000043</v>
      </c>
      <c r="S33" s="8">
        <f t="shared" si="4"/>
        <v>0.23070916756817519</v>
      </c>
      <c r="T33" s="8">
        <v>3</v>
      </c>
      <c r="U33" s="8" t="s">
        <v>138</v>
      </c>
      <c r="V33" s="8">
        <v>20</v>
      </c>
      <c r="W33" s="8">
        <f t="shared" si="7"/>
        <v>20000</v>
      </c>
      <c r="X33" s="8" t="str">
        <f t="shared" si="5"/>
        <v>High</v>
      </c>
      <c r="Y33" s="8" t="s">
        <v>135</v>
      </c>
      <c r="Z33" s="8">
        <f t="shared" si="0"/>
        <v>-3.2075923843408925E-2</v>
      </c>
      <c r="AA33" s="8">
        <f t="shared" si="1"/>
        <v>7.534797971581761E-4</v>
      </c>
      <c r="AB33" s="8">
        <f t="shared" si="2"/>
        <v>1.1039498297830883E-3</v>
      </c>
      <c r="AC33" s="8">
        <f t="shared" si="6"/>
        <v>1.8574296269412644E-3</v>
      </c>
      <c r="AD33" s="8" t="s">
        <v>134</v>
      </c>
      <c r="AF33" s="8" t="s">
        <v>150</v>
      </c>
    </row>
    <row r="34" spans="1:32" s="8" customFormat="1" ht="15.75" x14ac:dyDescent="0.2">
      <c r="A34" s="8">
        <v>33</v>
      </c>
      <c r="B34" s="8">
        <v>3</v>
      </c>
      <c r="C34" s="8" t="s">
        <v>130</v>
      </c>
      <c r="D34" s="8" t="s">
        <v>131</v>
      </c>
      <c r="E34" s="8" t="s">
        <v>132</v>
      </c>
      <c r="F34" s="8" t="s">
        <v>133</v>
      </c>
      <c r="G34" s="8" t="s">
        <v>139</v>
      </c>
      <c r="H34" s="8" t="s">
        <v>140</v>
      </c>
      <c r="I34" s="8" t="s">
        <v>105</v>
      </c>
      <c r="J34" s="8">
        <v>3</v>
      </c>
      <c r="K34" s="8" t="s">
        <v>153</v>
      </c>
      <c r="L34" s="8">
        <v>3</v>
      </c>
      <c r="M34" s="8">
        <v>4.99465</v>
      </c>
      <c r="N34" s="8">
        <v>0.20647000000000038</v>
      </c>
      <c r="O34" s="8">
        <f t="shared" si="3"/>
        <v>0.35761653023874673</v>
      </c>
      <c r="P34" s="8">
        <v>3</v>
      </c>
      <c r="Q34" s="8">
        <v>6.08026</v>
      </c>
      <c r="R34" s="8">
        <v>0.41293999999999986</v>
      </c>
      <c r="S34" s="8">
        <f t="shared" si="4"/>
        <v>0.71523306047749191</v>
      </c>
      <c r="T34" s="8">
        <v>3</v>
      </c>
      <c r="U34" s="8" t="s">
        <v>136</v>
      </c>
      <c r="V34" s="8">
        <v>1</v>
      </c>
      <c r="W34" s="8">
        <f t="shared" si="7"/>
        <v>1000</v>
      </c>
      <c r="X34" s="8" t="str">
        <f t="shared" si="5"/>
        <v>High</v>
      </c>
      <c r="Y34" s="8" t="s">
        <v>135</v>
      </c>
      <c r="Z34" s="8">
        <f t="shared" si="0"/>
        <v>-0.19668011864622792</v>
      </c>
      <c r="AA34" s="8">
        <f t="shared" si="1"/>
        <v>1.7088494172913114E-3</v>
      </c>
      <c r="AB34" s="8">
        <f t="shared" si="2"/>
        <v>4.6124280599583777E-3</v>
      </c>
      <c r="AC34" s="8">
        <f t="shared" si="6"/>
        <v>6.3212774772496896E-3</v>
      </c>
      <c r="AD34" s="8" t="s">
        <v>134</v>
      </c>
      <c r="AF34" s="8" t="s">
        <v>150</v>
      </c>
    </row>
    <row r="35" spans="1:32" s="8" customFormat="1" ht="15.75" x14ac:dyDescent="0.2">
      <c r="A35" s="8">
        <v>34</v>
      </c>
      <c r="B35" s="8">
        <v>3</v>
      </c>
      <c r="C35" s="8" t="s">
        <v>130</v>
      </c>
      <c r="D35" s="8" t="s">
        <v>131</v>
      </c>
      <c r="E35" s="8" t="s">
        <v>132</v>
      </c>
      <c r="F35" s="8" t="s">
        <v>133</v>
      </c>
      <c r="G35" s="8" t="s">
        <v>139</v>
      </c>
      <c r="H35" s="8" t="s">
        <v>140</v>
      </c>
      <c r="I35" s="8" t="s">
        <v>105</v>
      </c>
      <c r="J35" s="8">
        <v>3</v>
      </c>
      <c r="K35" s="8" t="s">
        <v>153</v>
      </c>
      <c r="L35" s="8">
        <v>3</v>
      </c>
      <c r="M35" s="8">
        <v>3.9090400000000001</v>
      </c>
      <c r="N35" s="8">
        <v>0.3862899999999998</v>
      </c>
      <c r="O35" s="8">
        <f t="shared" si="3"/>
        <v>0.66907390645578124</v>
      </c>
      <c r="P35" s="8">
        <v>3</v>
      </c>
      <c r="Q35" s="8">
        <v>6.08026</v>
      </c>
      <c r="R35" s="8">
        <v>0.41293999999999986</v>
      </c>
      <c r="S35" s="8">
        <f t="shared" si="4"/>
        <v>0.71523306047749191</v>
      </c>
      <c r="T35" s="8">
        <v>3</v>
      </c>
      <c r="U35" s="8" t="s">
        <v>137</v>
      </c>
      <c r="V35" s="8">
        <v>10</v>
      </c>
      <c r="W35" s="8">
        <f t="shared" si="7"/>
        <v>10000</v>
      </c>
      <c r="X35" s="8" t="str">
        <f t="shared" si="5"/>
        <v>High</v>
      </c>
      <c r="Y35" s="8" t="s">
        <v>135</v>
      </c>
      <c r="Z35" s="8">
        <f t="shared" si="0"/>
        <v>-0.4417556386670779</v>
      </c>
      <c r="AA35" s="8">
        <f t="shared" si="1"/>
        <v>9.7653250141104663E-3</v>
      </c>
      <c r="AB35" s="8">
        <f t="shared" si="2"/>
        <v>4.6124280599583777E-3</v>
      </c>
      <c r="AC35" s="8">
        <f t="shared" si="6"/>
        <v>1.4377753074068845E-2</v>
      </c>
      <c r="AD35" s="8" t="s">
        <v>134</v>
      </c>
      <c r="AF35" s="8" t="s">
        <v>150</v>
      </c>
    </row>
    <row r="36" spans="1:32" s="8" customFormat="1" ht="15.75" x14ac:dyDescent="0.2">
      <c r="A36" s="8">
        <v>35</v>
      </c>
      <c r="B36" s="8">
        <v>3</v>
      </c>
      <c r="C36" s="8" t="s">
        <v>130</v>
      </c>
      <c r="D36" s="8" t="s">
        <v>131</v>
      </c>
      <c r="E36" s="8" t="s">
        <v>132</v>
      </c>
      <c r="F36" s="8" t="s">
        <v>133</v>
      </c>
      <c r="G36" s="8" t="s">
        <v>139</v>
      </c>
      <c r="H36" s="8" t="s">
        <v>140</v>
      </c>
      <c r="I36" s="8" t="s">
        <v>105</v>
      </c>
      <c r="J36" s="8">
        <v>3</v>
      </c>
      <c r="K36" s="8" t="s">
        <v>153</v>
      </c>
      <c r="L36" s="8">
        <v>3</v>
      </c>
      <c r="M36" s="8">
        <v>3.1031499999999999</v>
      </c>
      <c r="N36" s="8">
        <v>0.72596000000000016</v>
      </c>
      <c r="O36" s="8">
        <f t="shared" si="3"/>
        <v>1.2573996042627025</v>
      </c>
      <c r="P36" s="8">
        <v>3</v>
      </c>
      <c r="Q36" s="8">
        <v>6.08026</v>
      </c>
      <c r="R36" s="8">
        <v>0.41293999999999986</v>
      </c>
      <c r="S36" s="8">
        <f t="shared" si="4"/>
        <v>0.71523306047749191</v>
      </c>
      <c r="T36" s="8">
        <v>3</v>
      </c>
      <c r="U36" s="8" t="s">
        <v>138</v>
      </c>
      <c r="V36" s="8">
        <v>20</v>
      </c>
      <c r="W36" s="8">
        <f t="shared" si="7"/>
        <v>20000</v>
      </c>
      <c r="X36" s="8" t="str">
        <f t="shared" si="5"/>
        <v>High</v>
      </c>
      <c r="Y36" s="8" t="s">
        <v>135</v>
      </c>
      <c r="Z36" s="8">
        <f t="shared" si="0"/>
        <v>-0.67262973360794165</v>
      </c>
      <c r="AA36" s="8">
        <f t="shared" si="1"/>
        <v>5.4729294010048307E-2</v>
      </c>
      <c r="AB36" s="8">
        <f t="shared" si="2"/>
        <v>4.6124280599583777E-3</v>
      </c>
      <c r="AC36" s="8">
        <f t="shared" si="6"/>
        <v>5.9341722070006687E-2</v>
      </c>
      <c r="AD36" s="8" t="s">
        <v>134</v>
      </c>
      <c r="AF36" s="8" t="s">
        <v>150</v>
      </c>
    </row>
    <row r="37" spans="1:32" s="8" customFormat="1" ht="15.75" x14ac:dyDescent="0.2">
      <c r="A37" s="8">
        <v>36</v>
      </c>
      <c r="B37" s="8">
        <v>3</v>
      </c>
      <c r="C37" s="8" t="s">
        <v>130</v>
      </c>
      <c r="D37" s="8" t="s">
        <v>131</v>
      </c>
      <c r="E37" s="8" t="s">
        <v>132</v>
      </c>
      <c r="F37" s="8" t="s">
        <v>133</v>
      </c>
      <c r="G37" s="8" t="s">
        <v>73</v>
      </c>
      <c r="H37" s="8" t="s">
        <v>140</v>
      </c>
      <c r="I37" s="8" t="s">
        <v>105</v>
      </c>
      <c r="J37" s="8">
        <v>3</v>
      </c>
      <c r="K37" s="8" t="s">
        <v>153</v>
      </c>
      <c r="L37" s="8">
        <v>3</v>
      </c>
      <c r="M37" s="8">
        <v>0.93777999999999995</v>
      </c>
      <c r="N37" s="8">
        <v>0.30572999999999995</v>
      </c>
      <c r="O37" s="8">
        <f t="shared" si="3"/>
        <v>0.52953989339803276</v>
      </c>
      <c r="P37" s="8">
        <v>3</v>
      </c>
      <c r="Q37" s="8">
        <v>1.38378</v>
      </c>
      <c r="R37" s="8">
        <v>0.28055000000000008</v>
      </c>
      <c r="S37" s="8">
        <f t="shared" si="4"/>
        <v>0.48592685406344865</v>
      </c>
      <c r="T37" s="8">
        <v>3</v>
      </c>
      <c r="U37" s="8" t="s">
        <v>136</v>
      </c>
      <c r="V37" s="8">
        <v>1</v>
      </c>
      <c r="W37" s="8">
        <f t="shared" si="7"/>
        <v>1000</v>
      </c>
      <c r="X37" s="8" t="str">
        <f t="shared" si="5"/>
        <v>High</v>
      </c>
      <c r="Y37" s="8" t="s">
        <v>135</v>
      </c>
      <c r="Z37" s="8">
        <f t="shared" si="0"/>
        <v>-0.38905878408541417</v>
      </c>
      <c r="AA37" s="8">
        <f t="shared" si="1"/>
        <v>0.10628553916774472</v>
      </c>
      <c r="AB37" s="8">
        <f t="shared" si="2"/>
        <v>4.1104223400818291E-2</v>
      </c>
      <c r="AC37" s="8">
        <f t="shared" si="6"/>
        <v>0.14738976256856301</v>
      </c>
      <c r="AD37" s="8" t="s">
        <v>134</v>
      </c>
      <c r="AF37" s="8" t="s">
        <v>152</v>
      </c>
    </row>
    <row r="38" spans="1:32" s="8" customFormat="1" ht="15.75" x14ac:dyDescent="0.2">
      <c r="A38" s="8">
        <v>37</v>
      </c>
      <c r="B38" s="8">
        <v>3</v>
      </c>
      <c r="C38" s="8" t="s">
        <v>130</v>
      </c>
      <c r="D38" s="8" t="s">
        <v>131</v>
      </c>
      <c r="E38" s="8" t="s">
        <v>132</v>
      </c>
      <c r="F38" s="8" t="s">
        <v>133</v>
      </c>
      <c r="G38" s="8" t="s">
        <v>73</v>
      </c>
      <c r="H38" s="8" t="s">
        <v>140</v>
      </c>
      <c r="I38" s="8" t="s">
        <v>105</v>
      </c>
      <c r="J38" s="8">
        <v>3</v>
      </c>
      <c r="K38" s="8" t="s">
        <v>153</v>
      </c>
      <c r="L38" s="8">
        <v>3</v>
      </c>
      <c r="M38" s="8">
        <v>1.2854000000000001</v>
      </c>
      <c r="N38" s="8">
        <v>0.75531000000000015</v>
      </c>
      <c r="O38" s="8">
        <f t="shared" si="3"/>
        <v>1.3082352954648488</v>
      </c>
      <c r="P38" s="8">
        <v>3</v>
      </c>
      <c r="Q38" s="8">
        <v>1.38378</v>
      </c>
      <c r="R38" s="8">
        <v>0.28055000000000008</v>
      </c>
      <c r="S38" s="8">
        <f t="shared" si="4"/>
        <v>0.48592685406344865</v>
      </c>
      <c r="T38" s="8">
        <v>3</v>
      </c>
      <c r="U38" s="8" t="s">
        <v>137</v>
      </c>
      <c r="V38" s="8">
        <v>10</v>
      </c>
      <c r="W38" s="8">
        <f t="shared" si="7"/>
        <v>10000</v>
      </c>
      <c r="X38" s="8" t="str">
        <f t="shared" si="5"/>
        <v>High</v>
      </c>
      <c r="Y38" s="8" t="s">
        <v>135</v>
      </c>
      <c r="Z38" s="8">
        <f t="shared" si="0"/>
        <v>-7.3748931067450438E-2</v>
      </c>
      <c r="AA38" s="8">
        <f t="shared" si="1"/>
        <v>0.34528195188926136</v>
      </c>
      <c r="AB38" s="8">
        <f t="shared" si="2"/>
        <v>4.1104223400818291E-2</v>
      </c>
      <c r="AC38" s="8">
        <f t="shared" si="6"/>
        <v>0.38638617529007968</v>
      </c>
      <c r="AD38" s="8" t="s">
        <v>134</v>
      </c>
      <c r="AF38" s="8" t="s">
        <v>152</v>
      </c>
    </row>
    <row r="39" spans="1:32" s="8" customFormat="1" ht="15.75" x14ac:dyDescent="0.2">
      <c r="A39" s="8">
        <v>38</v>
      </c>
      <c r="B39" s="8">
        <v>3</v>
      </c>
      <c r="C39" s="8" t="s">
        <v>130</v>
      </c>
      <c r="D39" s="8" t="s">
        <v>131</v>
      </c>
      <c r="E39" s="8" t="s">
        <v>132</v>
      </c>
      <c r="F39" s="8" t="s">
        <v>133</v>
      </c>
      <c r="G39" s="8" t="s">
        <v>73</v>
      </c>
      <c r="H39" s="8" t="s">
        <v>140</v>
      </c>
      <c r="I39" s="8" t="s">
        <v>105</v>
      </c>
      <c r="J39" s="8">
        <v>3</v>
      </c>
      <c r="K39" s="8" t="s">
        <v>153</v>
      </c>
      <c r="L39" s="8">
        <v>3</v>
      </c>
      <c r="M39" s="8">
        <v>1.3560000000000001</v>
      </c>
      <c r="N39" s="8">
        <v>1.0466600000000001</v>
      </c>
      <c r="O39" s="8">
        <f t="shared" si="3"/>
        <v>1.8128682982500413</v>
      </c>
      <c r="P39" s="8">
        <v>3</v>
      </c>
      <c r="Q39" s="8">
        <v>1.38378</v>
      </c>
      <c r="R39" s="8">
        <v>0.28055000000000008</v>
      </c>
      <c r="S39" s="8">
        <f t="shared" si="4"/>
        <v>0.48592685406344865</v>
      </c>
      <c r="T39" s="8">
        <v>3</v>
      </c>
      <c r="U39" s="8" t="s">
        <v>138</v>
      </c>
      <c r="V39" s="8">
        <v>20</v>
      </c>
      <c r="W39" s="8">
        <f t="shared" si="7"/>
        <v>20000</v>
      </c>
      <c r="X39" s="8" t="str">
        <f t="shared" si="5"/>
        <v>High</v>
      </c>
      <c r="Y39" s="8" t="s">
        <v>135</v>
      </c>
      <c r="Z39" s="8">
        <f t="shared" si="0"/>
        <v>-2.0279695504295332E-2</v>
      </c>
      <c r="AA39" s="8">
        <f t="shared" si="1"/>
        <v>0.59578816948164393</v>
      </c>
      <c r="AB39" s="8">
        <f t="shared" si="2"/>
        <v>4.1104223400818291E-2</v>
      </c>
      <c r="AC39" s="8">
        <f t="shared" si="6"/>
        <v>0.63689239288246224</v>
      </c>
      <c r="AD39" s="8" t="s">
        <v>134</v>
      </c>
      <c r="AF39" s="8" t="s">
        <v>152</v>
      </c>
    </row>
    <row r="40" spans="1:32" s="8" customFormat="1" ht="15.75" x14ac:dyDescent="0.2">
      <c r="A40" s="8">
        <v>39</v>
      </c>
      <c r="B40" s="8">
        <v>3</v>
      </c>
      <c r="C40" s="8" t="s">
        <v>130</v>
      </c>
      <c r="D40" s="8" t="s">
        <v>131</v>
      </c>
      <c r="E40" s="8" t="s">
        <v>132</v>
      </c>
      <c r="F40" s="8" t="s">
        <v>133</v>
      </c>
      <c r="G40" s="8" t="s">
        <v>139</v>
      </c>
      <c r="H40" s="8" t="s">
        <v>140</v>
      </c>
      <c r="I40" s="8" t="s">
        <v>105</v>
      </c>
      <c r="J40" s="8">
        <v>3</v>
      </c>
      <c r="K40" s="8" t="s">
        <v>153</v>
      </c>
      <c r="L40" s="8">
        <v>3</v>
      </c>
      <c r="M40" s="8">
        <v>1.3118399999999999</v>
      </c>
      <c r="N40" s="8">
        <v>8.6330000000000018E-2</v>
      </c>
      <c r="O40" s="8">
        <f t="shared" si="3"/>
        <v>0.14952794621742119</v>
      </c>
      <c r="P40" s="8">
        <v>3</v>
      </c>
      <c r="Q40" s="8">
        <v>1.3981699999999999</v>
      </c>
      <c r="R40" s="8">
        <v>0.26616000000000017</v>
      </c>
      <c r="S40" s="8">
        <f t="shared" si="4"/>
        <v>0.46100264294253268</v>
      </c>
      <c r="T40" s="8">
        <v>3</v>
      </c>
      <c r="U40" s="8" t="s">
        <v>136</v>
      </c>
      <c r="V40" s="8">
        <v>1</v>
      </c>
      <c r="W40" s="8">
        <f t="shared" si="7"/>
        <v>1000</v>
      </c>
      <c r="X40" s="8" t="str">
        <f t="shared" si="5"/>
        <v>High</v>
      </c>
      <c r="Y40" s="8" t="s">
        <v>135</v>
      </c>
      <c r="Z40" s="8">
        <f t="shared" si="0"/>
        <v>-6.3733506841913257E-2</v>
      </c>
      <c r="AA40" s="8">
        <f t="shared" si="1"/>
        <v>4.3307363347918548E-3</v>
      </c>
      <c r="AB40" s="8">
        <f t="shared" si="2"/>
        <v>3.623811650568718E-2</v>
      </c>
      <c r="AC40" s="8">
        <f t="shared" si="6"/>
        <v>4.0568852840479036E-2</v>
      </c>
      <c r="AD40" s="8" t="s">
        <v>134</v>
      </c>
      <c r="AF40" s="8" t="s">
        <v>152</v>
      </c>
    </row>
    <row r="41" spans="1:32" s="8" customFormat="1" ht="15.75" x14ac:dyDescent="0.2">
      <c r="A41" s="8">
        <v>40</v>
      </c>
      <c r="B41" s="8">
        <v>3</v>
      </c>
      <c r="C41" s="8" t="s">
        <v>130</v>
      </c>
      <c r="D41" s="8" t="s">
        <v>131</v>
      </c>
      <c r="E41" s="8" t="s">
        <v>132</v>
      </c>
      <c r="F41" s="8" t="s">
        <v>133</v>
      </c>
      <c r="G41" s="8" t="s">
        <v>139</v>
      </c>
      <c r="H41" s="8" t="s">
        <v>140</v>
      </c>
      <c r="I41" s="8" t="s">
        <v>105</v>
      </c>
      <c r="J41" s="8">
        <v>3</v>
      </c>
      <c r="K41" s="8" t="s">
        <v>153</v>
      </c>
      <c r="L41" s="8">
        <v>3</v>
      </c>
      <c r="M41" s="8">
        <v>1.3693900000000001</v>
      </c>
      <c r="N41" s="8">
        <v>0.17984</v>
      </c>
      <c r="O41" s="8">
        <f t="shared" si="3"/>
        <v>0.31149201723318687</v>
      </c>
      <c r="P41" s="8">
        <v>3</v>
      </c>
      <c r="Q41" s="8">
        <v>1.3981699999999999</v>
      </c>
      <c r="R41" s="8">
        <v>0.26616000000000017</v>
      </c>
      <c r="S41" s="8">
        <f t="shared" si="4"/>
        <v>0.46100264294253268</v>
      </c>
      <c r="T41" s="8">
        <v>3</v>
      </c>
      <c r="U41" s="8" t="s">
        <v>137</v>
      </c>
      <c r="V41" s="8">
        <v>10</v>
      </c>
      <c r="W41" s="8">
        <f t="shared" si="7"/>
        <v>10000</v>
      </c>
      <c r="X41" s="8" t="str">
        <f t="shared" si="5"/>
        <v>High</v>
      </c>
      <c r="Y41" s="8" t="s">
        <v>135</v>
      </c>
      <c r="Z41" s="8">
        <f t="shared" si="0"/>
        <v>-2.0798853497715531E-2</v>
      </c>
      <c r="AA41" s="8">
        <f t="shared" si="1"/>
        <v>1.7247187453477156E-2</v>
      </c>
      <c r="AB41" s="8">
        <f t="shared" si="2"/>
        <v>3.623811650568718E-2</v>
      </c>
      <c r="AC41" s="8">
        <f t="shared" si="6"/>
        <v>5.3485303959164336E-2</v>
      </c>
      <c r="AD41" s="8" t="s">
        <v>134</v>
      </c>
      <c r="AF41" s="8" t="s">
        <v>152</v>
      </c>
    </row>
    <row r="42" spans="1:32" s="8" customFormat="1" ht="15.75" x14ac:dyDescent="0.2">
      <c r="A42" s="8">
        <v>41</v>
      </c>
      <c r="B42" s="8">
        <v>3</v>
      </c>
      <c r="C42" s="8" t="s">
        <v>130</v>
      </c>
      <c r="D42" s="8" t="s">
        <v>131</v>
      </c>
      <c r="E42" s="8" t="s">
        <v>132</v>
      </c>
      <c r="F42" s="8" t="s">
        <v>133</v>
      </c>
      <c r="G42" s="8" t="s">
        <v>139</v>
      </c>
      <c r="H42" s="8" t="s">
        <v>140</v>
      </c>
      <c r="I42" s="8" t="s">
        <v>105</v>
      </c>
      <c r="J42" s="8">
        <v>3</v>
      </c>
      <c r="K42" s="8" t="s">
        <v>153</v>
      </c>
      <c r="L42" s="8">
        <v>3</v>
      </c>
      <c r="M42" s="8">
        <v>1.25789</v>
      </c>
      <c r="N42" s="8">
        <v>0.26615999999999995</v>
      </c>
      <c r="O42" s="8">
        <f t="shared" si="3"/>
        <v>0.46100264294253229</v>
      </c>
      <c r="P42" s="8">
        <v>3</v>
      </c>
      <c r="Q42" s="8">
        <v>1.3981699999999999</v>
      </c>
      <c r="R42" s="8">
        <v>0.26616000000000017</v>
      </c>
      <c r="S42" s="8">
        <f t="shared" si="4"/>
        <v>0.46100264294253268</v>
      </c>
      <c r="T42" s="8">
        <v>3</v>
      </c>
      <c r="U42" s="8" t="s">
        <v>138</v>
      </c>
      <c r="V42" s="8">
        <v>20</v>
      </c>
      <c r="W42" s="8">
        <f t="shared" si="7"/>
        <v>20000</v>
      </c>
      <c r="X42" s="8" t="str">
        <f t="shared" si="5"/>
        <v>High</v>
      </c>
      <c r="Y42" s="8" t="s">
        <v>135</v>
      </c>
      <c r="Z42" s="8">
        <f t="shared" si="0"/>
        <v>-0.10572852463408602</v>
      </c>
      <c r="AA42" s="8">
        <f t="shared" si="1"/>
        <v>4.4771355836925396E-2</v>
      </c>
      <c r="AB42" s="8">
        <f t="shared" si="2"/>
        <v>3.623811650568718E-2</v>
      </c>
      <c r="AC42" s="8">
        <f t="shared" si="6"/>
        <v>8.1009472342612576E-2</v>
      </c>
      <c r="AD42" s="8" t="s">
        <v>134</v>
      </c>
      <c r="AF42" s="8" t="s">
        <v>152</v>
      </c>
    </row>
    <row r="43" spans="1:32" s="8" customFormat="1" ht="15.75" x14ac:dyDescent="0.2">
      <c r="A43" s="8">
        <v>42</v>
      </c>
      <c r="B43" s="8">
        <v>3</v>
      </c>
      <c r="C43" s="8" t="s">
        <v>130</v>
      </c>
      <c r="D43" s="8" t="s">
        <v>131</v>
      </c>
      <c r="E43" s="8" t="s">
        <v>132</v>
      </c>
      <c r="F43" s="8" t="s">
        <v>133</v>
      </c>
      <c r="G43" s="8" t="s">
        <v>73</v>
      </c>
      <c r="H43" s="8" t="s">
        <v>140</v>
      </c>
      <c r="I43" s="8" t="s">
        <v>105</v>
      </c>
      <c r="J43" s="8">
        <v>3</v>
      </c>
      <c r="K43" s="8" t="s">
        <v>153</v>
      </c>
      <c r="L43" s="8">
        <v>3</v>
      </c>
      <c r="M43" s="8">
        <v>1.2536400000000001</v>
      </c>
      <c r="N43" s="8">
        <v>5.754999999999999E-2</v>
      </c>
      <c r="O43" s="8">
        <f t="shared" si="3"/>
        <v>9.9679523975588866E-2</v>
      </c>
      <c r="P43" s="8">
        <v>3</v>
      </c>
      <c r="Q43" s="8">
        <v>1.2968599999999999</v>
      </c>
      <c r="R43" s="8">
        <v>7.0700000000000207E-2</v>
      </c>
      <c r="S43" s="8">
        <f t="shared" si="4"/>
        <v>0.12245599209511998</v>
      </c>
      <c r="T43" s="8">
        <v>3</v>
      </c>
      <c r="U43" s="8" t="s">
        <v>136</v>
      </c>
      <c r="V43" s="8">
        <v>1</v>
      </c>
      <c r="W43" s="8">
        <f t="shared" si="7"/>
        <v>1000</v>
      </c>
      <c r="X43" s="8" t="str">
        <f t="shared" si="5"/>
        <v>High</v>
      </c>
      <c r="Y43" s="8" t="s">
        <v>135</v>
      </c>
      <c r="Z43" s="8">
        <f t="shared" si="0"/>
        <v>-3.3894638449696105E-2</v>
      </c>
      <c r="AA43" s="8">
        <f t="shared" si="1"/>
        <v>2.1073902888277089E-3</v>
      </c>
      <c r="AB43" s="8">
        <f t="shared" si="2"/>
        <v>2.9720262243228641E-3</v>
      </c>
      <c r="AC43" s="8">
        <f t="shared" si="6"/>
        <v>5.079416513150573E-3</v>
      </c>
      <c r="AD43" s="8" t="s">
        <v>134</v>
      </c>
      <c r="AF43" s="8" t="s">
        <v>151</v>
      </c>
    </row>
    <row r="44" spans="1:32" s="8" customFormat="1" ht="15.75" x14ac:dyDescent="0.2">
      <c r="A44" s="8">
        <v>43</v>
      </c>
      <c r="B44" s="8">
        <v>3</v>
      </c>
      <c r="C44" s="8" t="s">
        <v>130</v>
      </c>
      <c r="D44" s="8" t="s">
        <v>131</v>
      </c>
      <c r="E44" s="8" t="s">
        <v>132</v>
      </c>
      <c r="F44" s="8" t="s">
        <v>133</v>
      </c>
      <c r="G44" s="8" t="s">
        <v>73</v>
      </c>
      <c r="H44" s="8" t="s">
        <v>140</v>
      </c>
      <c r="I44" s="8" t="s">
        <v>105</v>
      </c>
      <c r="J44" s="8">
        <v>3</v>
      </c>
      <c r="K44" s="8" t="s">
        <v>153</v>
      </c>
      <c r="L44" s="8">
        <v>3</v>
      </c>
      <c r="M44" s="8">
        <v>1.2836000000000001</v>
      </c>
      <c r="N44" s="8">
        <v>5.096999999999996E-2</v>
      </c>
      <c r="O44" s="8">
        <f t="shared" si="3"/>
        <v>8.82826296617856E-2</v>
      </c>
      <c r="P44" s="8">
        <v>3</v>
      </c>
      <c r="Q44" s="8">
        <v>1.2968599999999999</v>
      </c>
      <c r="R44" s="8">
        <v>7.0700000000000207E-2</v>
      </c>
      <c r="S44" s="8">
        <f t="shared" si="4"/>
        <v>0.12245599209511998</v>
      </c>
      <c r="T44" s="8">
        <v>3</v>
      </c>
      <c r="U44" s="8" t="s">
        <v>137</v>
      </c>
      <c r="V44" s="8">
        <v>10</v>
      </c>
      <c r="W44" s="8">
        <f t="shared" si="7"/>
        <v>10000</v>
      </c>
      <c r="X44" s="8" t="str">
        <f t="shared" si="5"/>
        <v>High</v>
      </c>
      <c r="Y44" s="8" t="s">
        <v>135</v>
      </c>
      <c r="Z44" s="8">
        <f t="shared" si="0"/>
        <v>-1.0277327851411182E-2</v>
      </c>
      <c r="AA44" s="8">
        <f t="shared" si="1"/>
        <v>1.5767754531335716E-3</v>
      </c>
      <c r="AB44" s="8">
        <f t="shared" si="2"/>
        <v>2.9720262243228641E-3</v>
      </c>
      <c r="AC44" s="8">
        <f t="shared" si="6"/>
        <v>4.5488016774564355E-3</v>
      </c>
      <c r="AD44" s="8" t="s">
        <v>134</v>
      </c>
      <c r="AF44" s="8" t="s">
        <v>151</v>
      </c>
    </row>
    <row r="45" spans="1:32" s="8" customFormat="1" ht="15.75" x14ac:dyDescent="0.2">
      <c r="A45" s="8">
        <v>44</v>
      </c>
      <c r="B45" s="8">
        <v>3</v>
      </c>
      <c r="C45" s="8" t="s">
        <v>130</v>
      </c>
      <c r="D45" s="8" t="s">
        <v>131</v>
      </c>
      <c r="E45" s="8" t="s">
        <v>132</v>
      </c>
      <c r="F45" s="8" t="s">
        <v>133</v>
      </c>
      <c r="G45" s="8" t="s">
        <v>73</v>
      </c>
      <c r="H45" s="8" t="s">
        <v>140</v>
      </c>
      <c r="I45" s="8" t="s">
        <v>105</v>
      </c>
      <c r="J45" s="8">
        <v>3</v>
      </c>
      <c r="K45" s="8" t="s">
        <v>153</v>
      </c>
      <c r="L45" s="8">
        <v>3</v>
      </c>
      <c r="M45" s="8">
        <v>1.2956300000000001</v>
      </c>
      <c r="N45" s="8">
        <v>3.9460000000000051E-2</v>
      </c>
      <c r="O45" s="8">
        <f t="shared" si="3"/>
        <v>6.8346724866667985E-2</v>
      </c>
      <c r="P45" s="8">
        <v>3</v>
      </c>
      <c r="Q45" s="8">
        <v>1.2968599999999999</v>
      </c>
      <c r="R45" s="8">
        <v>7.0700000000000207E-2</v>
      </c>
      <c r="S45" s="8">
        <f t="shared" si="4"/>
        <v>0.12245599209511998</v>
      </c>
      <c r="T45" s="8">
        <v>3</v>
      </c>
      <c r="U45" s="8" t="s">
        <v>138</v>
      </c>
      <c r="V45" s="8">
        <v>20</v>
      </c>
      <c r="W45" s="8">
        <f t="shared" si="7"/>
        <v>20000</v>
      </c>
      <c r="X45" s="8" t="str">
        <f t="shared" si="5"/>
        <v>High</v>
      </c>
      <c r="Y45" s="8" t="s">
        <v>135</v>
      </c>
      <c r="Z45" s="8">
        <f t="shared" si="0"/>
        <v>-9.4889476317440631E-4</v>
      </c>
      <c r="AA45" s="8">
        <f t="shared" si="1"/>
        <v>9.2758169781994627E-4</v>
      </c>
      <c r="AB45" s="8">
        <f t="shared" si="2"/>
        <v>2.9720262243228641E-3</v>
      </c>
      <c r="AC45" s="8">
        <f t="shared" si="6"/>
        <v>3.8996079221428103E-3</v>
      </c>
      <c r="AD45" s="8" t="s">
        <v>134</v>
      </c>
      <c r="AF45" s="8" t="s">
        <v>151</v>
      </c>
    </row>
    <row r="46" spans="1:32" s="8" customFormat="1" ht="15.75" x14ac:dyDescent="0.2">
      <c r="A46" s="8">
        <v>45</v>
      </c>
      <c r="B46" s="8">
        <v>3</v>
      </c>
      <c r="C46" s="8" t="s">
        <v>130</v>
      </c>
      <c r="D46" s="8" t="s">
        <v>131</v>
      </c>
      <c r="E46" s="8" t="s">
        <v>132</v>
      </c>
      <c r="F46" s="8" t="s">
        <v>133</v>
      </c>
      <c r="G46" s="8" t="s">
        <v>139</v>
      </c>
      <c r="H46" s="8" t="s">
        <v>140</v>
      </c>
      <c r="I46" s="8" t="s">
        <v>105</v>
      </c>
      <c r="J46" s="8">
        <v>3</v>
      </c>
      <c r="K46" s="8" t="s">
        <v>153</v>
      </c>
      <c r="L46" s="8">
        <v>3</v>
      </c>
      <c r="M46" s="8">
        <v>0.87429000000000001</v>
      </c>
      <c r="N46" s="8">
        <v>9.7010000000000041E-2</v>
      </c>
      <c r="O46" s="8">
        <f t="shared" si="3"/>
        <v>0.16802624884225684</v>
      </c>
      <c r="P46" s="8">
        <v>3</v>
      </c>
      <c r="Q46" s="8">
        <v>1.02227</v>
      </c>
      <c r="R46" s="8">
        <v>7.5630000000000086E-2</v>
      </c>
      <c r="S46" s="8">
        <f t="shared" si="4"/>
        <v>0.13099500257643434</v>
      </c>
      <c r="T46" s="8">
        <v>3</v>
      </c>
      <c r="U46" s="8" t="s">
        <v>136</v>
      </c>
      <c r="V46" s="8">
        <v>1</v>
      </c>
      <c r="W46" s="8">
        <f t="shared" si="7"/>
        <v>1000</v>
      </c>
      <c r="X46" s="8" t="str">
        <f t="shared" si="5"/>
        <v>High</v>
      </c>
      <c r="Y46" s="8" t="s">
        <v>135</v>
      </c>
      <c r="Z46" s="8">
        <f t="shared" si="0"/>
        <v>-0.15636879533927978</v>
      </c>
      <c r="AA46" s="8">
        <f t="shared" si="1"/>
        <v>1.2311812336906465E-2</v>
      </c>
      <c r="AB46" s="8">
        <f t="shared" si="2"/>
        <v>5.4733972397094681E-3</v>
      </c>
      <c r="AC46" s="8">
        <f t="shared" si="6"/>
        <v>1.7785209576615932E-2</v>
      </c>
      <c r="AD46" s="8" t="s">
        <v>134</v>
      </c>
      <c r="AF46" s="8" t="s">
        <v>151</v>
      </c>
    </row>
    <row r="47" spans="1:32" s="8" customFormat="1" ht="15.75" x14ac:dyDescent="0.2">
      <c r="A47" s="8">
        <v>46</v>
      </c>
      <c r="B47" s="8">
        <v>3</v>
      </c>
      <c r="C47" s="8" t="s">
        <v>130</v>
      </c>
      <c r="D47" s="8" t="s">
        <v>131</v>
      </c>
      <c r="E47" s="8" t="s">
        <v>132</v>
      </c>
      <c r="F47" s="8" t="s">
        <v>133</v>
      </c>
      <c r="G47" s="8" t="s">
        <v>139</v>
      </c>
      <c r="H47" s="8" t="s">
        <v>140</v>
      </c>
      <c r="I47" s="8" t="s">
        <v>105</v>
      </c>
      <c r="J47" s="8">
        <v>3</v>
      </c>
      <c r="K47" s="8" t="s">
        <v>153</v>
      </c>
      <c r="L47" s="8">
        <v>3</v>
      </c>
      <c r="M47" s="8">
        <v>0.94499</v>
      </c>
      <c r="N47" s="8">
        <v>0.12166999999999994</v>
      </c>
      <c r="O47" s="8">
        <f t="shared" si="3"/>
        <v>0.21073862175690519</v>
      </c>
      <c r="P47" s="8">
        <v>3</v>
      </c>
      <c r="Q47" s="8">
        <v>1.02227</v>
      </c>
      <c r="R47" s="8">
        <v>7.5630000000000086E-2</v>
      </c>
      <c r="S47" s="8">
        <f t="shared" si="4"/>
        <v>0.13099500257643434</v>
      </c>
      <c r="T47" s="8">
        <v>3</v>
      </c>
      <c r="U47" s="8" t="s">
        <v>137</v>
      </c>
      <c r="V47" s="8">
        <v>10</v>
      </c>
      <c r="W47" s="8">
        <f t="shared" si="7"/>
        <v>10000</v>
      </c>
      <c r="X47" s="8" t="str">
        <f t="shared" si="5"/>
        <v>High</v>
      </c>
      <c r="Y47" s="8" t="s">
        <v>135</v>
      </c>
      <c r="Z47" s="8">
        <f t="shared" si="0"/>
        <v>-7.8606578311937098E-2</v>
      </c>
      <c r="AA47" s="8">
        <f t="shared" si="1"/>
        <v>1.6577253949712389E-2</v>
      </c>
      <c r="AB47" s="8">
        <f t="shared" si="2"/>
        <v>5.4733972397094681E-3</v>
      </c>
      <c r="AC47" s="8">
        <f t="shared" si="6"/>
        <v>2.2050651189421858E-2</v>
      </c>
      <c r="AD47" s="8" t="s">
        <v>134</v>
      </c>
      <c r="AF47" s="8" t="s">
        <v>151</v>
      </c>
    </row>
    <row r="48" spans="1:32" s="8" customFormat="1" ht="15.75" x14ac:dyDescent="0.2">
      <c r="A48" s="8">
        <v>47</v>
      </c>
      <c r="B48" s="8">
        <v>3</v>
      </c>
      <c r="C48" s="8" t="s">
        <v>130</v>
      </c>
      <c r="D48" s="8" t="s">
        <v>131</v>
      </c>
      <c r="E48" s="8" t="s">
        <v>132</v>
      </c>
      <c r="F48" s="8" t="s">
        <v>133</v>
      </c>
      <c r="G48" s="8" t="s">
        <v>139</v>
      </c>
      <c r="H48" s="8" t="s">
        <v>140</v>
      </c>
      <c r="I48" s="8" t="s">
        <v>105</v>
      </c>
      <c r="J48" s="8">
        <v>3</v>
      </c>
      <c r="K48" s="8" t="s">
        <v>153</v>
      </c>
      <c r="L48" s="8">
        <v>3</v>
      </c>
      <c r="M48" s="8">
        <v>0.70328999999999997</v>
      </c>
      <c r="N48" s="8">
        <v>9.536E-2</v>
      </c>
      <c r="O48" s="8">
        <f t="shared" si="3"/>
        <v>0.16516836500976814</v>
      </c>
      <c r="P48" s="8">
        <v>3</v>
      </c>
      <c r="Q48" s="8">
        <v>1.02227</v>
      </c>
      <c r="R48" s="8">
        <v>7.5630000000000086E-2</v>
      </c>
      <c r="S48" s="8">
        <f t="shared" si="4"/>
        <v>0.13099500257643434</v>
      </c>
      <c r="T48" s="8">
        <v>3</v>
      </c>
      <c r="U48" s="8" t="s">
        <v>138</v>
      </c>
      <c r="V48" s="8">
        <v>20</v>
      </c>
      <c r="W48" s="8">
        <f t="shared" si="7"/>
        <v>20000</v>
      </c>
      <c r="X48" s="8" t="str">
        <f t="shared" si="5"/>
        <v>High</v>
      </c>
      <c r="Y48" s="8" t="s">
        <v>135</v>
      </c>
      <c r="Z48" s="8">
        <f t="shared" si="0"/>
        <v>-0.37401159920957183</v>
      </c>
      <c r="AA48" s="8">
        <f t="shared" si="1"/>
        <v>1.8384998562364918E-2</v>
      </c>
      <c r="AB48" s="8">
        <f t="shared" si="2"/>
        <v>5.4733972397094681E-3</v>
      </c>
      <c r="AC48" s="8">
        <f t="shared" si="6"/>
        <v>2.3858395802074387E-2</v>
      </c>
      <c r="AD48" s="8" t="s">
        <v>134</v>
      </c>
      <c r="AF48" s="8" t="s">
        <v>151</v>
      </c>
    </row>
    <row r="49" spans="1:32" s="10" customFormat="1" ht="15.75" x14ac:dyDescent="0.2">
      <c r="A49" s="10">
        <v>48</v>
      </c>
      <c r="B49" s="10">
        <v>4</v>
      </c>
      <c r="C49" s="10" t="s">
        <v>176</v>
      </c>
      <c r="D49" s="10" t="s">
        <v>186</v>
      </c>
      <c r="E49" s="10" t="s">
        <v>180</v>
      </c>
      <c r="F49" s="10" t="s">
        <v>178</v>
      </c>
      <c r="G49" s="10" t="s">
        <v>168</v>
      </c>
      <c r="H49" s="10" t="s">
        <v>183</v>
      </c>
      <c r="I49" s="10" t="s">
        <v>356</v>
      </c>
      <c r="J49" s="10">
        <v>4</v>
      </c>
      <c r="K49" s="10" t="s">
        <v>187</v>
      </c>
      <c r="L49" s="10">
        <v>3</v>
      </c>
      <c r="M49" s="10">
        <v>411254.32</v>
      </c>
      <c r="N49" s="10">
        <v>90863.504159999953</v>
      </c>
      <c r="O49" s="10">
        <f t="shared" si="3"/>
        <v>157380.20575886595</v>
      </c>
      <c r="P49" s="10">
        <v>3</v>
      </c>
      <c r="Q49" s="10">
        <v>410356.65083</v>
      </c>
      <c r="R49" s="10">
        <v>24594.632700000016</v>
      </c>
      <c r="S49" s="10">
        <f t="shared" si="4"/>
        <v>42599.153429894941</v>
      </c>
      <c r="T49" s="10">
        <v>3</v>
      </c>
      <c r="U49" s="10" t="s">
        <v>702</v>
      </c>
      <c r="V49" s="10">
        <v>0.25</v>
      </c>
      <c r="W49" s="10">
        <f>(V49 / 0.5) * 1000</f>
        <v>500</v>
      </c>
      <c r="X49" s="10" t="str">
        <f t="shared" si="5"/>
        <v>High</v>
      </c>
      <c r="Y49" s="10" t="s">
        <v>181</v>
      </c>
      <c r="Z49" s="10">
        <f t="shared" ref="Z49:Z80" si="8">(LN(M49/Q49))*-1</f>
        <v>-2.1851449385592225E-3</v>
      </c>
      <c r="AA49" s="10">
        <f t="shared" si="1"/>
        <v>4.8815530889649315E-2</v>
      </c>
      <c r="AB49" s="10">
        <f t="shared" si="2"/>
        <v>3.5921770097311003E-3</v>
      </c>
      <c r="AC49" s="10">
        <f t="shared" si="6"/>
        <v>5.2407707899380415E-2</v>
      </c>
      <c r="AD49" s="10" t="s">
        <v>179</v>
      </c>
      <c r="AF49" s="10" t="s">
        <v>188</v>
      </c>
    </row>
    <row r="50" spans="1:32" s="10" customFormat="1" ht="15.75" x14ac:dyDescent="0.2">
      <c r="A50" s="10">
        <v>49</v>
      </c>
      <c r="B50" s="10">
        <v>4</v>
      </c>
      <c r="C50" s="10" t="s">
        <v>176</v>
      </c>
      <c r="D50" s="10" t="s">
        <v>193</v>
      </c>
      <c r="E50" s="10" t="s">
        <v>180</v>
      </c>
      <c r="F50" s="10" t="s">
        <v>178</v>
      </c>
      <c r="G50" s="10" t="s">
        <v>168</v>
      </c>
      <c r="H50" s="10" t="s">
        <v>183</v>
      </c>
      <c r="I50" s="10" t="s">
        <v>356</v>
      </c>
      <c r="J50" s="10">
        <v>4</v>
      </c>
      <c r="K50" s="10" t="s">
        <v>154</v>
      </c>
      <c r="L50" s="10">
        <v>3</v>
      </c>
      <c r="M50" s="10">
        <v>161.42188999999999</v>
      </c>
      <c r="N50" s="10">
        <v>29.391160000000013</v>
      </c>
      <c r="O50" s="10">
        <f t="shared" si="3"/>
        <v>50.906982413386103</v>
      </c>
      <c r="P50" s="10">
        <v>3</v>
      </c>
      <c r="Q50" s="10">
        <v>139.21523999999999</v>
      </c>
      <c r="R50" s="10">
        <v>17.634690000000006</v>
      </c>
      <c r="S50" s="10">
        <f t="shared" si="4"/>
        <v>30.544179055726815</v>
      </c>
      <c r="T50" s="10">
        <v>3</v>
      </c>
      <c r="U50" s="10" t="s">
        <v>185</v>
      </c>
      <c r="V50" s="10">
        <v>0.25</v>
      </c>
      <c r="W50" s="10">
        <f>(V50 / 0.5) * 1000</f>
        <v>500</v>
      </c>
      <c r="X50" s="10" t="str">
        <f t="shared" si="5"/>
        <v>High</v>
      </c>
      <c r="Y50" s="10" t="s">
        <v>181</v>
      </c>
      <c r="Z50" s="10">
        <f t="shared" si="8"/>
        <v>-0.14800014774783779</v>
      </c>
      <c r="AA50" s="10">
        <f t="shared" si="1"/>
        <v>3.3151913315439485E-2</v>
      </c>
      <c r="AB50" s="10">
        <f t="shared" si="2"/>
        <v>1.6045826736674856E-2</v>
      </c>
      <c r="AC50" s="10">
        <f t="shared" si="6"/>
        <v>4.9197740052114344E-2</v>
      </c>
      <c r="AD50" s="10" t="s">
        <v>179</v>
      </c>
      <c r="AF50" s="10" t="s">
        <v>189</v>
      </c>
    </row>
    <row r="51" spans="1:32" s="10" customFormat="1" ht="15.75" x14ac:dyDescent="0.2">
      <c r="A51" s="10">
        <v>50</v>
      </c>
      <c r="B51" s="10">
        <v>4</v>
      </c>
      <c r="C51" s="10" t="s">
        <v>176</v>
      </c>
      <c r="D51" s="10" t="s">
        <v>194</v>
      </c>
      <c r="E51" s="10" t="s">
        <v>180</v>
      </c>
      <c r="F51" s="10" t="s">
        <v>178</v>
      </c>
      <c r="G51" s="10" t="s">
        <v>168</v>
      </c>
      <c r="H51" s="10" t="s">
        <v>183</v>
      </c>
      <c r="I51" s="10" t="s">
        <v>356</v>
      </c>
      <c r="J51" s="10">
        <v>4</v>
      </c>
      <c r="K51" s="10" t="s">
        <v>156</v>
      </c>
      <c r="L51" s="10">
        <v>3</v>
      </c>
      <c r="M51" s="10">
        <v>44.325000000000003</v>
      </c>
      <c r="N51" s="10">
        <v>1.3715900000000047</v>
      </c>
      <c r="O51" s="10">
        <f t="shared" si="3"/>
        <v>2.3756635671534045</v>
      </c>
      <c r="P51" s="10">
        <v>3</v>
      </c>
      <c r="Q51" s="10">
        <v>43.061909999999997</v>
      </c>
      <c r="R51" s="10">
        <v>1.1756500000000045</v>
      </c>
      <c r="S51" s="10">
        <f t="shared" si="4"/>
        <v>2.0362855319183581</v>
      </c>
      <c r="T51" s="10">
        <v>3</v>
      </c>
      <c r="U51" s="10" t="s">
        <v>185</v>
      </c>
      <c r="V51" s="10">
        <v>0.25</v>
      </c>
      <c r="W51" s="10">
        <f>(V51 / 0.5) * 1000</f>
        <v>500</v>
      </c>
      <c r="X51" s="10" t="str">
        <f t="shared" si="5"/>
        <v>High</v>
      </c>
      <c r="Y51" s="10" t="s">
        <v>181</v>
      </c>
      <c r="Z51" s="10">
        <f t="shared" si="8"/>
        <v>-2.8910004296219417E-2</v>
      </c>
      <c r="AA51" s="10">
        <f t="shared" si="1"/>
        <v>9.5752722655334836E-4</v>
      </c>
      <c r="AB51" s="10">
        <f t="shared" si="2"/>
        <v>7.4536589713049858E-4</v>
      </c>
      <c r="AC51" s="10">
        <f t="shared" si="6"/>
        <v>1.702893123683847E-3</v>
      </c>
      <c r="AD51" s="10" t="s">
        <v>179</v>
      </c>
      <c r="AF51" s="10" t="s">
        <v>190</v>
      </c>
    </row>
    <row r="52" spans="1:32" s="10" customFormat="1" ht="15.75" x14ac:dyDescent="0.2">
      <c r="A52" s="10">
        <v>51</v>
      </c>
      <c r="B52" s="10">
        <v>4</v>
      </c>
      <c r="C52" s="10" t="s">
        <v>176</v>
      </c>
      <c r="D52" s="10" t="s">
        <v>195</v>
      </c>
      <c r="E52" s="10" t="s">
        <v>180</v>
      </c>
      <c r="F52" s="10" t="s">
        <v>178</v>
      </c>
      <c r="G52" s="10" t="s">
        <v>168</v>
      </c>
      <c r="H52" s="10" t="s">
        <v>183</v>
      </c>
      <c r="I52" s="10" t="s">
        <v>356</v>
      </c>
      <c r="J52" s="10">
        <v>4</v>
      </c>
      <c r="K52" s="10" t="s">
        <v>157</v>
      </c>
      <c r="L52" s="10">
        <v>3</v>
      </c>
      <c r="M52" s="10">
        <v>327.99110000000002</v>
      </c>
      <c r="N52" s="10">
        <v>44.951179999999965</v>
      </c>
      <c r="O52" s="10">
        <f t="shared" si="3"/>
        <v>77.857727620173904</v>
      </c>
      <c r="P52" s="10">
        <v>3</v>
      </c>
      <c r="Q52" s="10">
        <v>278.19902000000002</v>
      </c>
      <c r="R52" s="10">
        <v>29.736940000000004</v>
      </c>
      <c r="S52" s="10">
        <f t="shared" si="4"/>
        <v>51.505890941627257</v>
      </c>
      <c r="T52" s="10">
        <v>3</v>
      </c>
      <c r="U52" s="10" t="s">
        <v>185</v>
      </c>
      <c r="V52" s="10">
        <v>0.25</v>
      </c>
      <c r="W52" s="10">
        <f>(V52 / 0.5) * 1000</f>
        <v>500</v>
      </c>
      <c r="X52" s="10" t="str">
        <f t="shared" si="5"/>
        <v>High</v>
      </c>
      <c r="Y52" s="10" t="s">
        <v>181</v>
      </c>
      <c r="Z52" s="10">
        <f t="shared" si="8"/>
        <v>-0.1646497170321054</v>
      </c>
      <c r="AA52" s="10">
        <f t="shared" si="1"/>
        <v>1.8782702286898153E-2</v>
      </c>
      <c r="AB52" s="10">
        <f t="shared" si="2"/>
        <v>1.1425661715708121E-2</v>
      </c>
      <c r="AC52" s="10">
        <f t="shared" si="6"/>
        <v>3.0208364002606274E-2</v>
      </c>
      <c r="AD52" s="10" t="s">
        <v>179</v>
      </c>
      <c r="AF52" s="10" t="s">
        <v>191</v>
      </c>
    </row>
    <row r="53" spans="1:32" s="10" customFormat="1" ht="15.75" x14ac:dyDescent="0.2">
      <c r="A53" s="10">
        <v>52</v>
      </c>
      <c r="B53" s="10">
        <v>4</v>
      </c>
      <c r="C53" s="10" t="s">
        <v>176</v>
      </c>
      <c r="D53" s="10" t="s">
        <v>196</v>
      </c>
      <c r="E53" s="10" t="s">
        <v>180</v>
      </c>
      <c r="F53" s="10" t="s">
        <v>178</v>
      </c>
      <c r="G53" s="10" t="s">
        <v>168</v>
      </c>
      <c r="H53" s="10" t="s">
        <v>183</v>
      </c>
      <c r="I53" s="10" t="s">
        <v>356</v>
      </c>
      <c r="J53" s="10">
        <v>4</v>
      </c>
      <c r="K53" s="10" t="s">
        <v>158</v>
      </c>
      <c r="L53" s="10">
        <v>3</v>
      </c>
      <c r="M53" s="10">
        <v>40.171979999999998</v>
      </c>
      <c r="N53" s="10">
        <v>24.088060000000006</v>
      </c>
      <c r="O53" s="10">
        <f t="shared" si="3"/>
        <v>41.721743775767578</v>
      </c>
      <c r="P53" s="10">
        <v>3</v>
      </c>
      <c r="Q53" s="10">
        <v>18.429569999999998</v>
      </c>
      <c r="R53" s="10">
        <v>7.4880500000000012</v>
      </c>
      <c r="S53" s="10">
        <f t="shared" si="4"/>
        <v>12.969683049616133</v>
      </c>
      <c r="T53" s="10">
        <v>3</v>
      </c>
      <c r="U53" s="10" t="s">
        <v>185</v>
      </c>
      <c r="V53" s="10">
        <v>0.25</v>
      </c>
      <c r="W53" s="10">
        <f>(V53 / 0.5) * 1000</f>
        <v>500</v>
      </c>
      <c r="X53" s="10" t="str">
        <f t="shared" si="5"/>
        <v>High</v>
      </c>
      <c r="Y53" s="10" t="s">
        <v>181</v>
      </c>
      <c r="Z53" s="10">
        <f t="shared" si="8"/>
        <v>-0.77921329778690362</v>
      </c>
      <c r="AA53" s="10">
        <f t="shared" si="1"/>
        <v>0.3595482447446135</v>
      </c>
      <c r="AB53" s="10">
        <f t="shared" si="2"/>
        <v>0.16508479190199088</v>
      </c>
      <c r="AC53" s="10">
        <f t="shared" si="6"/>
        <v>0.52463303664660432</v>
      </c>
      <c r="AD53" s="10" t="s">
        <v>179</v>
      </c>
      <c r="AF53" s="10" t="s">
        <v>192</v>
      </c>
    </row>
    <row r="54" spans="1:32" s="19" customFormat="1" ht="15.75" x14ac:dyDescent="0.2">
      <c r="A54" s="19">
        <v>53</v>
      </c>
      <c r="B54" s="19">
        <v>5</v>
      </c>
      <c r="C54" s="19" t="s">
        <v>308</v>
      </c>
      <c r="D54" s="19" t="s">
        <v>316</v>
      </c>
      <c r="E54" s="19" t="s">
        <v>307</v>
      </c>
      <c r="F54" s="19" t="s">
        <v>295</v>
      </c>
      <c r="G54" s="19" t="s">
        <v>337</v>
      </c>
      <c r="H54" s="19" t="s">
        <v>290</v>
      </c>
      <c r="I54" s="19" t="s">
        <v>357</v>
      </c>
      <c r="J54" s="19">
        <v>5</v>
      </c>
      <c r="K54" s="19" t="s">
        <v>315</v>
      </c>
      <c r="L54" s="19">
        <v>16</v>
      </c>
      <c r="M54" s="19">
        <v>0.14000000000000001</v>
      </c>
      <c r="N54" s="19">
        <v>0.02</v>
      </c>
      <c r="O54" s="19">
        <f t="shared" si="3"/>
        <v>0.08</v>
      </c>
      <c r="P54" s="19">
        <v>16</v>
      </c>
      <c r="Q54" s="19">
        <v>0.12</v>
      </c>
      <c r="R54" s="19">
        <v>0.02</v>
      </c>
      <c r="S54" s="19">
        <f t="shared" si="4"/>
        <v>0.08</v>
      </c>
      <c r="T54" s="19">
        <v>16</v>
      </c>
      <c r="U54" s="19" t="s">
        <v>317</v>
      </c>
      <c r="V54" s="19" t="s">
        <v>703</v>
      </c>
      <c r="W54" s="19" t="str">
        <f>V54</f>
        <v>0.022 </v>
      </c>
      <c r="X54" s="19" t="str">
        <f t="shared" si="5"/>
        <v>High</v>
      </c>
      <c r="Y54" s="19" t="s">
        <v>310</v>
      </c>
      <c r="Z54" s="19">
        <f t="shared" si="8"/>
        <v>-0.15415067982725836</v>
      </c>
      <c r="AA54" s="19">
        <f t="shared" si="1"/>
        <v>2.0408163265306121E-2</v>
      </c>
      <c r="AB54" s="19">
        <f t="shared" si="2"/>
        <v>2.777777777777778E-2</v>
      </c>
      <c r="AC54" s="19">
        <f t="shared" si="6"/>
        <v>4.8185941043083901E-2</v>
      </c>
      <c r="AD54" s="19" t="s">
        <v>311</v>
      </c>
      <c r="AF54" s="19" t="s">
        <v>322</v>
      </c>
    </row>
    <row r="55" spans="1:32" s="19" customFormat="1" ht="15.75" x14ac:dyDescent="0.2">
      <c r="A55" s="19">
        <v>54</v>
      </c>
      <c r="B55" s="19">
        <v>5</v>
      </c>
      <c r="C55" s="19" t="s">
        <v>308</v>
      </c>
      <c r="D55" s="19" t="s">
        <v>316</v>
      </c>
      <c r="E55" s="19" t="s">
        <v>307</v>
      </c>
      <c r="F55" s="19" t="s">
        <v>295</v>
      </c>
      <c r="G55" s="19" t="s">
        <v>337</v>
      </c>
      <c r="H55" s="19" t="s">
        <v>290</v>
      </c>
      <c r="I55" s="19" t="s">
        <v>357</v>
      </c>
      <c r="J55" s="19">
        <v>5</v>
      </c>
      <c r="K55" s="19" t="s">
        <v>315</v>
      </c>
      <c r="L55" s="19">
        <v>16</v>
      </c>
      <c r="M55" s="19">
        <v>0.19</v>
      </c>
      <c r="N55" s="19">
        <v>1.2E-2</v>
      </c>
      <c r="O55" s="19">
        <f t="shared" si="3"/>
        <v>4.8000000000000001E-2</v>
      </c>
      <c r="P55" s="19">
        <v>16</v>
      </c>
      <c r="Q55" s="19">
        <v>0.17</v>
      </c>
      <c r="R55" s="19">
        <v>0.01</v>
      </c>
      <c r="S55" s="19">
        <f t="shared" si="4"/>
        <v>0.04</v>
      </c>
      <c r="T55" s="19">
        <v>16</v>
      </c>
      <c r="U55" s="19" t="s">
        <v>317</v>
      </c>
      <c r="V55" s="19" t="s">
        <v>703</v>
      </c>
      <c r="W55" s="19" t="str">
        <f t="shared" ref="W55:W80" si="9">V55</f>
        <v>0.022 </v>
      </c>
      <c r="X55" s="19" t="str">
        <f t="shared" si="5"/>
        <v>High</v>
      </c>
      <c r="Y55" s="19" t="s">
        <v>310</v>
      </c>
      <c r="Z55" s="19">
        <f t="shared" si="8"/>
        <v>-0.1112256351102244</v>
      </c>
      <c r="AA55" s="19">
        <f t="shared" si="1"/>
        <v>3.988919667590028E-3</v>
      </c>
      <c r="AB55" s="19">
        <f t="shared" si="2"/>
        <v>3.4602076124567471E-3</v>
      </c>
      <c r="AC55" s="19">
        <f t="shared" si="6"/>
        <v>7.4491272800467755E-3</v>
      </c>
      <c r="AD55" s="19" t="s">
        <v>311</v>
      </c>
      <c r="AF55" s="19" t="s">
        <v>666</v>
      </c>
    </row>
    <row r="56" spans="1:32" s="19" customFormat="1" ht="15.75" x14ac:dyDescent="0.2">
      <c r="A56" s="19">
        <v>55</v>
      </c>
      <c r="B56" s="19">
        <v>5</v>
      </c>
      <c r="C56" s="19" t="s">
        <v>308</v>
      </c>
      <c r="D56" s="19" t="s">
        <v>316</v>
      </c>
      <c r="E56" s="19" t="s">
        <v>307</v>
      </c>
      <c r="F56" s="19" t="s">
        <v>295</v>
      </c>
      <c r="G56" s="19" t="s">
        <v>337</v>
      </c>
      <c r="H56" s="19" t="s">
        <v>290</v>
      </c>
      <c r="I56" s="19" t="s">
        <v>357</v>
      </c>
      <c r="J56" s="19">
        <v>5</v>
      </c>
      <c r="K56" s="19" t="s">
        <v>315</v>
      </c>
      <c r="L56" s="19">
        <v>16</v>
      </c>
      <c r="M56" s="19">
        <v>0.99</v>
      </c>
      <c r="N56" s="19">
        <v>1.2400000000000001E-4</v>
      </c>
      <c r="O56" s="19">
        <f t="shared" si="3"/>
        <v>4.9600000000000002E-4</v>
      </c>
      <c r="P56" s="19">
        <v>16</v>
      </c>
      <c r="Q56" s="19">
        <v>1.04</v>
      </c>
      <c r="R56" s="19">
        <v>0.02</v>
      </c>
      <c r="S56" s="19">
        <f t="shared" si="4"/>
        <v>0.08</v>
      </c>
      <c r="T56" s="19">
        <v>16</v>
      </c>
      <c r="U56" s="19" t="s">
        <v>317</v>
      </c>
      <c r="V56" s="19" t="s">
        <v>703</v>
      </c>
      <c r="W56" s="19" t="str">
        <f t="shared" si="9"/>
        <v>0.022 </v>
      </c>
      <c r="X56" s="19" t="str">
        <f t="shared" si="5"/>
        <v>High</v>
      </c>
      <c r="Y56" s="19" t="s">
        <v>310</v>
      </c>
      <c r="Z56" s="19">
        <f t="shared" si="8"/>
        <v>4.9271049006782794E-2</v>
      </c>
      <c r="AA56" s="19">
        <f t="shared" si="1"/>
        <v>1.5688195082134479E-8</v>
      </c>
      <c r="AB56" s="19">
        <f t="shared" si="2"/>
        <v>3.6982248520710058E-4</v>
      </c>
      <c r="AC56" s="19">
        <f t="shared" si="6"/>
        <v>3.6983817340218274E-4</v>
      </c>
      <c r="AD56" s="19" t="s">
        <v>311</v>
      </c>
      <c r="AF56" s="19" t="s">
        <v>323</v>
      </c>
    </row>
    <row r="57" spans="1:32" s="19" customFormat="1" ht="15.75" x14ac:dyDescent="0.2">
      <c r="A57" s="19">
        <v>56</v>
      </c>
      <c r="B57" s="19">
        <v>5</v>
      </c>
      <c r="C57" s="19" t="s">
        <v>308</v>
      </c>
      <c r="D57" s="19" t="s">
        <v>316</v>
      </c>
      <c r="E57" s="19" t="s">
        <v>307</v>
      </c>
      <c r="F57" s="19" t="s">
        <v>295</v>
      </c>
      <c r="G57" s="19" t="s">
        <v>337</v>
      </c>
      <c r="H57" s="19" t="s">
        <v>290</v>
      </c>
      <c r="I57" s="19" t="s">
        <v>357</v>
      </c>
      <c r="J57" s="19">
        <v>5</v>
      </c>
      <c r="K57" s="19" t="s">
        <v>315</v>
      </c>
      <c r="L57" s="19">
        <v>16</v>
      </c>
      <c r="M57" s="19">
        <v>34.39</v>
      </c>
      <c r="N57" s="19">
        <v>1.21</v>
      </c>
      <c r="O57" s="19">
        <f t="shared" si="3"/>
        <v>4.84</v>
      </c>
      <c r="P57" s="19">
        <v>16</v>
      </c>
      <c r="Q57" s="19">
        <v>33.9</v>
      </c>
      <c r="R57" s="19">
        <v>0.91</v>
      </c>
      <c r="S57" s="19">
        <f t="shared" si="4"/>
        <v>3.64</v>
      </c>
      <c r="T57" s="19">
        <v>16</v>
      </c>
      <c r="U57" s="19" t="s">
        <v>317</v>
      </c>
      <c r="V57" s="19" t="s">
        <v>703</v>
      </c>
      <c r="W57" s="19" t="str">
        <f t="shared" si="9"/>
        <v>0.022 </v>
      </c>
      <c r="X57" s="19" t="str">
        <f t="shared" si="5"/>
        <v>High</v>
      </c>
      <c r="Y57" s="19" t="s">
        <v>310</v>
      </c>
      <c r="Z57" s="19">
        <f t="shared" si="8"/>
        <v>-1.4350810057770365E-2</v>
      </c>
      <c r="AA57" s="19">
        <f t="shared" si="1"/>
        <v>1.2379593633772201E-3</v>
      </c>
      <c r="AB57" s="19">
        <f t="shared" si="2"/>
        <v>7.2058196500204505E-4</v>
      </c>
      <c r="AC57" s="19">
        <f t="shared" si="6"/>
        <v>1.958541328379265E-3</v>
      </c>
      <c r="AD57" s="19" t="s">
        <v>311</v>
      </c>
      <c r="AF57" s="19" t="s">
        <v>667</v>
      </c>
    </row>
    <row r="58" spans="1:32" s="19" customFormat="1" ht="15.75" x14ac:dyDescent="0.2">
      <c r="A58" s="19">
        <v>57</v>
      </c>
      <c r="B58" s="19">
        <v>5</v>
      </c>
      <c r="C58" s="19" t="s">
        <v>308</v>
      </c>
      <c r="D58" s="19" t="s">
        <v>316</v>
      </c>
      <c r="E58" s="19" t="s">
        <v>307</v>
      </c>
      <c r="F58" s="19" t="s">
        <v>295</v>
      </c>
      <c r="G58" s="19" t="s">
        <v>337</v>
      </c>
      <c r="H58" s="19" t="s">
        <v>290</v>
      </c>
      <c r="I58" s="19" t="s">
        <v>357</v>
      </c>
      <c r="J58" s="19">
        <v>5</v>
      </c>
      <c r="K58" s="19" t="s">
        <v>315</v>
      </c>
      <c r="L58" s="19">
        <v>16</v>
      </c>
      <c r="M58" s="19">
        <v>5.79</v>
      </c>
      <c r="N58" s="19">
        <v>0.12</v>
      </c>
      <c r="O58" s="19">
        <f t="shared" si="3"/>
        <v>0.48</v>
      </c>
      <c r="P58" s="19">
        <v>16</v>
      </c>
      <c r="Q58" s="19">
        <v>5.77</v>
      </c>
      <c r="R58" s="19">
        <v>0.11</v>
      </c>
      <c r="S58" s="19">
        <f t="shared" si="4"/>
        <v>0.44</v>
      </c>
      <c r="T58" s="19">
        <v>16</v>
      </c>
      <c r="U58" s="19" t="s">
        <v>317</v>
      </c>
      <c r="V58" s="19" t="s">
        <v>703</v>
      </c>
      <c r="W58" s="19" t="str">
        <f t="shared" si="9"/>
        <v>0.022 </v>
      </c>
      <c r="X58" s="19" t="str">
        <f t="shared" si="5"/>
        <v>High</v>
      </c>
      <c r="Y58" s="19" t="s">
        <v>310</v>
      </c>
      <c r="Z58" s="19">
        <f t="shared" si="8"/>
        <v>-3.4602110648956526E-3</v>
      </c>
      <c r="AA58" s="19">
        <f t="shared" si="1"/>
        <v>4.2954173266396414E-4</v>
      </c>
      <c r="AB58" s="19">
        <f t="shared" si="2"/>
        <v>3.6344085375560558E-4</v>
      </c>
      <c r="AC58" s="19">
        <f t="shared" si="6"/>
        <v>7.9298258641956971E-4</v>
      </c>
      <c r="AD58" s="19" t="s">
        <v>311</v>
      </c>
      <c r="AF58" s="19" t="s">
        <v>668</v>
      </c>
    </row>
    <row r="59" spans="1:32" s="19" customFormat="1" ht="15.75" x14ac:dyDescent="0.2">
      <c r="A59" s="19">
        <v>58</v>
      </c>
      <c r="B59" s="19">
        <v>5</v>
      </c>
      <c r="C59" s="19" t="s">
        <v>308</v>
      </c>
      <c r="D59" s="19" t="s">
        <v>316</v>
      </c>
      <c r="E59" s="19" t="s">
        <v>307</v>
      </c>
      <c r="F59" s="19" t="s">
        <v>295</v>
      </c>
      <c r="G59" s="19" t="s">
        <v>337</v>
      </c>
      <c r="H59" s="19" t="s">
        <v>290</v>
      </c>
      <c r="I59" s="19" t="s">
        <v>357</v>
      </c>
      <c r="J59" s="19">
        <v>5</v>
      </c>
      <c r="K59" s="19" t="s">
        <v>315</v>
      </c>
      <c r="L59" s="19">
        <v>16</v>
      </c>
      <c r="M59" s="19">
        <v>0.34</v>
      </c>
      <c r="N59" s="19">
        <v>0.01</v>
      </c>
      <c r="O59" s="19">
        <f t="shared" si="3"/>
        <v>0.04</v>
      </c>
      <c r="P59" s="19">
        <v>16</v>
      </c>
      <c r="Q59" s="19">
        <v>0.33</v>
      </c>
      <c r="R59" s="19">
        <v>0.01</v>
      </c>
      <c r="S59" s="19">
        <f t="shared" si="4"/>
        <v>0.04</v>
      </c>
      <c r="T59" s="19">
        <v>16</v>
      </c>
      <c r="U59" s="19" t="s">
        <v>317</v>
      </c>
      <c r="V59" s="19" t="s">
        <v>703</v>
      </c>
      <c r="W59" s="19" t="str">
        <f t="shared" si="9"/>
        <v>0.022 </v>
      </c>
      <c r="X59" s="19" t="str">
        <f t="shared" si="5"/>
        <v>High</v>
      </c>
      <c r="Y59" s="19" t="s">
        <v>310</v>
      </c>
      <c r="Z59" s="19">
        <f t="shared" si="8"/>
        <v>-2.9852963149681128E-2</v>
      </c>
      <c r="AA59" s="19">
        <f t="shared" si="1"/>
        <v>8.6505190311418677E-4</v>
      </c>
      <c r="AB59" s="19">
        <f t="shared" si="2"/>
        <v>9.1827364554637281E-4</v>
      </c>
      <c r="AC59" s="19">
        <f t="shared" si="6"/>
        <v>1.7833255486605596E-3</v>
      </c>
      <c r="AD59" s="19" t="s">
        <v>311</v>
      </c>
      <c r="AF59" s="19" t="s">
        <v>324</v>
      </c>
    </row>
    <row r="60" spans="1:32" s="19" customFormat="1" ht="15.75" x14ac:dyDescent="0.2">
      <c r="A60" s="19">
        <v>59</v>
      </c>
      <c r="B60" s="19">
        <v>5</v>
      </c>
      <c r="C60" s="19" t="s">
        <v>308</v>
      </c>
      <c r="D60" s="19" t="s">
        <v>316</v>
      </c>
      <c r="E60" s="19" t="s">
        <v>307</v>
      </c>
      <c r="F60" s="19" t="s">
        <v>295</v>
      </c>
      <c r="G60" s="19" t="s">
        <v>337</v>
      </c>
      <c r="H60" s="19" t="s">
        <v>290</v>
      </c>
      <c r="I60" s="19" t="s">
        <v>357</v>
      </c>
      <c r="J60" s="19">
        <v>5</v>
      </c>
      <c r="K60" s="19" t="s">
        <v>315</v>
      </c>
      <c r="L60" s="19">
        <v>16</v>
      </c>
      <c r="M60" s="19">
        <v>0.26529999999999998</v>
      </c>
      <c r="N60" s="19">
        <v>2.4E-2</v>
      </c>
      <c r="O60" s="19">
        <f t="shared" si="3"/>
        <v>9.6000000000000002E-2</v>
      </c>
      <c r="P60" s="19">
        <v>16</v>
      </c>
      <c r="Q60" s="19">
        <v>0.26</v>
      </c>
      <c r="R60" s="19">
        <v>2.1000000000000001E-2</v>
      </c>
      <c r="S60" s="19">
        <f t="shared" si="4"/>
        <v>8.4000000000000005E-2</v>
      </c>
      <c r="T60" s="19">
        <v>16</v>
      </c>
      <c r="U60" s="19" t="s">
        <v>317</v>
      </c>
      <c r="V60" s="19" t="s">
        <v>703</v>
      </c>
      <c r="W60" s="19" t="str">
        <f t="shared" si="9"/>
        <v>0.022 </v>
      </c>
      <c r="X60" s="19" t="str">
        <f t="shared" si="5"/>
        <v>High</v>
      </c>
      <c r="Y60" s="19" t="s">
        <v>310</v>
      </c>
      <c r="Z60" s="19">
        <f t="shared" si="8"/>
        <v>-2.0179630128166082E-2</v>
      </c>
      <c r="AA60" s="19">
        <f t="shared" si="1"/>
        <v>8.1836676442076615E-3</v>
      </c>
      <c r="AB60" s="19">
        <f t="shared" si="2"/>
        <v>6.5236686390532546E-3</v>
      </c>
      <c r="AC60" s="19">
        <f t="shared" si="6"/>
        <v>1.4707336283260916E-2</v>
      </c>
      <c r="AD60" s="19" t="s">
        <v>311</v>
      </c>
      <c r="AF60" s="19" t="s">
        <v>325</v>
      </c>
    </row>
    <row r="61" spans="1:32" s="19" customFormat="1" ht="15.75" x14ac:dyDescent="0.2">
      <c r="A61" s="19">
        <v>60</v>
      </c>
      <c r="B61" s="19">
        <v>5</v>
      </c>
      <c r="C61" s="19" t="s">
        <v>308</v>
      </c>
      <c r="D61" s="19" t="s">
        <v>316</v>
      </c>
      <c r="E61" s="19" t="s">
        <v>307</v>
      </c>
      <c r="F61" s="19" t="s">
        <v>295</v>
      </c>
      <c r="G61" s="19" t="s">
        <v>337</v>
      </c>
      <c r="H61" s="19" t="s">
        <v>290</v>
      </c>
      <c r="I61" s="19" t="s">
        <v>357</v>
      </c>
      <c r="J61" s="19">
        <v>5</v>
      </c>
      <c r="K61" s="19" t="s">
        <v>315</v>
      </c>
      <c r="L61" s="19">
        <v>16</v>
      </c>
      <c r="M61" s="19">
        <v>12.7</v>
      </c>
      <c r="N61" s="19">
        <v>0.42</v>
      </c>
      <c r="O61" s="19">
        <f t="shared" si="3"/>
        <v>1.68</v>
      </c>
      <c r="P61" s="19">
        <v>16</v>
      </c>
      <c r="Q61" s="19">
        <v>12.65</v>
      </c>
      <c r="R61" s="19">
        <v>0.3</v>
      </c>
      <c r="S61" s="19">
        <f t="shared" si="4"/>
        <v>1.2</v>
      </c>
      <c r="T61" s="19">
        <v>16</v>
      </c>
      <c r="U61" s="19" t="s">
        <v>317</v>
      </c>
      <c r="V61" s="19" t="s">
        <v>703</v>
      </c>
      <c r="W61" s="19" t="str">
        <f t="shared" si="9"/>
        <v>0.022 </v>
      </c>
      <c r="X61" s="19" t="str">
        <f t="shared" si="5"/>
        <v>High</v>
      </c>
      <c r="Y61" s="19" t="s">
        <v>310</v>
      </c>
      <c r="Z61" s="19">
        <f t="shared" si="8"/>
        <v>-3.9447782910163251E-3</v>
      </c>
      <c r="AA61" s="19">
        <f t="shared" si="1"/>
        <v>1.0936821873643746E-3</v>
      </c>
      <c r="AB61" s="19">
        <f t="shared" si="2"/>
        <v>5.6242090955959312E-4</v>
      </c>
      <c r="AC61" s="19">
        <f t="shared" si="6"/>
        <v>1.6561030969239677E-3</v>
      </c>
      <c r="AD61" s="19" t="s">
        <v>311</v>
      </c>
      <c r="AF61" s="19" t="s">
        <v>669</v>
      </c>
    </row>
    <row r="62" spans="1:32" s="19" customFormat="1" ht="15.75" x14ac:dyDescent="0.2">
      <c r="A62" s="19">
        <v>61</v>
      </c>
      <c r="B62" s="19">
        <v>5</v>
      </c>
      <c r="C62" s="19" t="s">
        <v>308</v>
      </c>
      <c r="D62" s="19" t="s">
        <v>316</v>
      </c>
      <c r="E62" s="19" t="s">
        <v>307</v>
      </c>
      <c r="F62" s="19" t="s">
        <v>295</v>
      </c>
      <c r="G62" s="19" t="s">
        <v>337</v>
      </c>
      <c r="H62" s="19" t="s">
        <v>290</v>
      </c>
      <c r="I62" s="19" t="s">
        <v>357</v>
      </c>
      <c r="J62" s="19">
        <v>5</v>
      </c>
      <c r="K62" s="19" t="s">
        <v>315</v>
      </c>
      <c r="L62" s="19">
        <v>16</v>
      </c>
      <c r="M62" s="19">
        <v>6.78</v>
      </c>
      <c r="N62" s="19">
        <v>0.14000000000000001</v>
      </c>
      <c r="O62" s="19">
        <f t="shared" si="3"/>
        <v>0.56000000000000005</v>
      </c>
      <c r="P62" s="19">
        <v>16</v>
      </c>
      <c r="Q62" s="19">
        <v>6.59</v>
      </c>
      <c r="R62" s="19">
        <v>0.09</v>
      </c>
      <c r="S62" s="19">
        <f t="shared" si="4"/>
        <v>0.36</v>
      </c>
      <c r="T62" s="19">
        <v>16</v>
      </c>
      <c r="U62" s="19" t="s">
        <v>317</v>
      </c>
      <c r="V62" s="19" t="s">
        <v>703</v>
      </c>
      <c r="W62" s="19" t="str">
        <f t="shared" si="9"/>
        <v>0.022 </v>
      </c>
      <c r="X62" s="19" t="str">
        <f t="shared" si="5"/>
        <v>High</v>
      </c>
      <c r="Y62" s="19" t="s">
        <v>310</v>
      </c>
      <c r="Z62" s="19">
        <f t="shared" si="8"/>
        <v>-2.8423753437888319E-2</v>
      </c>
      <c r="AA62" s="19">
        <f t="shared" si="1"/>
        <v>4.2637986094795557E-4</v>
      </c>
      <c r="AB62" s="19">
        <f t="shared" si="2"/>
        <v>1.8651518256612652E-4</v>
      </c>
      <c r="AC62" s="19">
        <f t="shared" si="6"/>
        <v>6.1289504351408211E-4</v>
      </c>
      <c r="AD62" s="19" t="s">
        <v>311</v>
      </c>
      <c r="AF62" s="19" t="s">
        <v>670</v>
      </c>
    </row>
    <row r="63" spans="1:32" s="19" customFormat="1" ht="15.75" x14ac:dyDescent="0.2">
      <c r="A63" s="19">
        <v>62</v>
      </c>
      <c r="B63" s="19">
        <v>5</v>
      </c>
      <c r="C63" s="19" t="s">
        <v>308</v>
      </c>
      <c r="D63" s="19" t="s">
        <v>316</v>
      </c>
      <c r="E63" s="19" t="s">
        <v>307</v>
      </c>
      <c r="F63" s="19" t="s">
        <v>295</v>
      </c>
      <c r="G63" s="19" t="s">
        <v>337</v>
      </c>
      <c r="H63" s="19" t="s">
        <v>290</v>
      </c>
      <c r="I63" s="19" t="s">
        <v>357</v>
      </c>
      <c r="J63" s="19">
        <v>5</v>
      </c>
      <c r="K63" s="19" t="s">
        <v>315</v>
      </c>
      <c r="L63" s="19">
        <v>16</v>
      </c>
      <c r="M63" s="19">
        <v>0.25</v>
      </c>
      <c r="N63" s="19">
        <v>3.2100000000000002E-3</v>
      </c>
      <c r="O63" s="19">
        <f t="shared" si="3"/>
        <v>1.2840000000000001E-2</v>
      </c>
      <c r="P63" s="19">
        <v>16</v>
      </c>
      <c r="Q63" s="19">
        <v>0.22</v>
      </c>
      <c r="R63" s="19">
        <v>1.2E-4</v>
      </c>
      <c r="S63" s="19">
        <f t="shared" si="4"/>
        <v>4.8000000000000001E-4</v>
      </c>
      <c r="T63" s="19">
        <v>16</v>
      </c>
      <c r="U63" s="19" t="s">
        <v>317</v>
      </c>
      <c r="V63" s="19" t="s">
        <v>703</v>
      </c>
      <c r="W63" s="19" t="str">
        <f t="shared" si="9"/>
        <v>0.022 </v>
      </c>
      <c r="X63" s="19" t="str">
        <f t="shared" si="5"/>
        <v>High</v>
      </c>
      <c r="Y63" s="19" t="s">
        <v>310</v>
      </c>
      <c r="Z63" s="19">
        <f t="shared" si="8"/>
        <v>-0.127833371509885</v>
      </c>
      <c r="AA63" s="19">
        <f t="shared" si="1"/>
        <v>1.6486560000000003E-4</v>
      </c>
      <c r="AB63" s="19">
        <f t="shared" si="2"/>
        <v>2.9752066115702482E-7</v>
      </c>
      <c r="AC63" s="19">
        <f t="shared" si="6"/>
        <v>1.6516312066115705E-4</v>
      </c>
      <c r="AD63" s="19" t="s">
        <v>311</v>
      </c>
      <c r="AF63" s="19" t="s">
        <v>671</v>
      </c>
    </row>
    <row r="64" spans="1:32" s="19" customFormat="1" ht="15.75" x14ac:dyDescent="0.2">
      <c r="A64" s="19">
        <v>63</v>
      </c>
      <c r="B64" s="19">
        <v>5</v>
      </c>
      <c r="C64" s="19" t="s">
        <v>308</v>
      </c>
      <c r="D64" s="19" t="s">
        <v>316</v>
      </c>
      <c r="E64" s="19" t="s">
        <v>307</v>
      </c>
      <c r="F64" s="19" t="s">
        <v>295</v>
      </c>
      <c r="G64" s="19" t="s">
        <v>337</v>
      </c>
      <c r="H64" s="19" t="s">
        <v>290</v>
      </c>
      <c r="I64" s="19" t="s">
        <v>357</v>
      </c>
      <c r="J64" s="19">
        <v>5</v>
      </c>
      <c r="K64" s="19" t="s">
        <v>315</v>
      </c>
      <c r="L64" s="19">
        <v>16</v>
      </c>
      <c r="M64" s="19">
        <v>1.95</v>
      </c>
      <c r="N64" s="19">
        <v>0.02</v>
      </c>
      <c r="O64" s="19">
        <f t="shared" si="3"/>
        <v>0.08</v>
      </c>
      <c r="P64" s="19">
        <v>16</v>
      </c>
      <c r="Q64" s="19">
        <v>1.93</v>
      </c>
      <c r="R64" s="19">
        <v>0.06</v>
      </c>
      <c r="S64" s="19">
        <f t="shared" si="4"/>
        <v>0.24</v>
      </c>
      <c r="T64" s="19">
        <v>16</v>
      </c>
      <c r="U64" s="19" t="s">
        <v>317</v>
      </c>
      <c r="V64" s="19" t="s">
        <v>703</v>
      </c>
      <c r="W64" s="19" t="str">
        <f t="shared" si="9"/>
        <v>0.022 </v>
      </c>
      <c r="X64" s="19" t="str">
        <f t="shared" si="5"/>
        <v>High</v>
      </c>
      <c r="Y64" s="19" t="s">
        <v>310</v>
      </c>
      <c r="Z64" s="19">
        <f t="shared" si="8"/>
        <v>-1.0309369658861287E-2</v>
      </c>
      <c r="AA64" s="19">
        <f t="shared" si="1"/>
        <v>1.0519395134779752E-4</v>
      </c>
      <c r="AB64" s="19">
        <f t="shared" si="2"/>
        <v>9.664688984939193E-4</v>
      </c>
      <c r="AC64" s="19">
        <f t="shared" si="6"/>
        <v>1.0716628498417169E-3</v>
      </c>
      <c r="AD64" s="19" t="s">
        <v>311</v>
      </c>
      <c r="AF64" s="19" t="s">
        <v>672</v>
      </c>
    </row>
    <row r="65" spans="1:32" s="19" customFormat="1" ht="15.75" x14ac:dyDescent="0.2">
      <c r="A65" s="19">
        <v>64</v>
      </c>
      <c r="B65" s="19">
        <v>5</v>
      </c>
      <c r="C65" s="19" t="s">
        <v>308</v>
      </c>
      <c r="D65" s="19" t="s">
        <v>316</v>
      </c>
      <c r="E65" s="19" t="s">
        <v>307</v>
      </c>
      <c r="F65" s="19" t="s">
        <v>295</v>
      </c>
      <c r="G65" s="19" t="s">
        <v>337</v>
      </c>
      <c r="H65" s="19" t="s">
        <v>290</v>
      </c>
      <c r="I65" s="19" t="s">
        <v>357</v>
      </c>
      <c r="J65" s="19">
        <v>5</v>
      </c>
      <c r="K65" s="19" t="s">
        <v>315</v>
      </c>
      <c r="L65" s="19">
        <v>16</v>
      </c>
      <c r="M65" s="19">
        <v>0.28000000000000003</v>
      </c>
      <c r="N65" s="19">
        <v>1.4200000000000001E-4</v>
      </c>
      <c r="O65" s="19">
        <f xml:space="preserve"> N65*SQRT(L65)</f>
        <v>5.6800000000000004E-4</v>
      </c>
      <c r="P65" s="19">
        <v>16</v>
      </c>
      <c r="Q65" s="19">
        <v>0.25</v>
      </c>
      <c r="R65" s="19">
        <v>0.02</v>
      </c>
      <c r="S65" s="19">
        <f t="shared" si="4"/>
        <v>0.08</v>
      </c>
      <c r="T65" s="19">
        <v>16</v>
      </c>
      <c r="U65" s="19" t="s">
        <v>317</v>
      </c>
      <c r="V65" s="19" t="s">
        <v>703</v>
      </c>
      <c r="W65" s="19" t="str">
        <f t="shared" si="9"/>
        <v>0.022 </v>
      </c>
      <c r="X65" s="19" t="str">
        <f t="shared" si="5"/>
        <v>High</v>
      </c>
      <c r="Y65" s="19" t="s">
        <v>310</v>
      </c>
      <c r="Z65" s="19">
        <f t="shared" si="8"/>
        <v>-0.11332868530700327</v>
      </c>
      <c r="AA65" s="19">
        <f t="shared" si="1"/>
        <v>2.5719387755102037E-7</v>
      </c>
      <c r="AB65" s="19">
        <f t="shared" si="2"/>
        <v>6.4000000000000003E-3</v>
      </c>
      <c r="AC65" s="19">
        <f t="shared" si="6"/>
        <v>6.4002571938775515E-3</v>
      </c>
      <c r="AD65" s="19" t="s">
        <v>311</v>
      </c>
      <c r="AF65" s="19" t="s">
        <v>673</v>
      </c>
    </row>
    <row r="66" spans="1:32" s="19" customFormat="1" ht="15.75" x14ac:dyDescent="0.2">
      <c r="A66" s="19">
        <v>65</v>
      </c>
      <c r="B66" s="19">
        <v>5</v>
      </c>
      <c r="C66" s="19" t="s">
        <v>308</v>
      </c>
      <c r="D66" s="19" t="s">
        <v>316</v>
      </c>
      <c r="E66" s="19" t="s">
        <v>307</v>
      </c>
      <c r="F66" s="19" t="s">
        <v>295</v>
      </c>
      <c r="G66" s="19" t="s">
        <v>337</v>
      </c>
      <c r="H66" s="19" t="s">
        <v>290</v>
      </c>
      <c r="I66" s="19" t="s">
        <v>357</v>
      </c>
      <c r="J66" s="19">
        <v>5</v>
      </c>
      <c r="K66" s="19" t="s">
        <v>315</v>
      </c>
      <c r="L66" s="19">
        <v>16</v>
      </c>
      <c r="M66" s="19">
        <v>16.53</v>
      </c>
      <c r="N66" s="19">
        <v>0.28000000000000003</v>
      </c>
      <c r="O66" s="19">
        <f t="shared" si="3"/>
        <v>1.1200000000000001</v>
      </c>
      <c r="P66" s="19">
        <v>16</v>
      </c>
      <c r="Q66" s="19">
        <v>16.489999999999998</v>
      </c>
      <c r="R66" s="19">
        <v>0.26</v>
      </c>
      <c r="S66" s="19">
        <f t="shared" si="4"/>
        <v>1.04</v>
      </c>
      <c r="T66" s="19">
        <v>16</v>
      </c>
      <c r="U66" s="19" t="s">
        <v>317</v>
      </c>
      <c r="V66" s="19" t="s">
        <v>703</v>
      </c>
      <c r="W66" s="19" t="str">
        <f t="shared" si="9"/>
        <v>0.022 </v>
      </c>
      <c r="X66" s="19" t="str">
        <f t="shared" si="5"/>
        <v>High</v>
      </c>
      <c r="Y66" s="19" t="s">
        <v>310</v>
      </c>
      <c r="Z66" s="19">
        <f t="shared" si="8"/>
        <v>-2.4227752614254892E-3</v>
      </c>
      <c r="AA66" s="19">
        <f t="shared" ref="AA66:AA129" si="10">(O66^2)/(L66*M66^2)</f>
        <v>2.8692629836894848E-4</v>
      </c>
      <c r="AB66" s="19">
        <f t="shared" ref="AB66:AB129" si="11">(S66^2)/(P66*Q66^2)</f>
        <v>2.486024387310832E-4</v>
      </c>
      <c r="AC66" s="19">
        <f t="shared" si="6"/>
        <v>5.3552873710003169E-4</v>
      </c>
      <c r="AD66" s="19" t="s">
        <v>311</v>
      </c>
      <c r="AF66" s="19" t="s">
        <v>326</v>
      </c>
    </row>
    <row r="67" spans="1:32" s="19" customFormat="1" ht="15.75" x14ac:dyDescent="0.2">
      <c r="A67" s="19">
        <v>66</v>
      </c>
      <c r="B67" s="19">
        <v>5</v>
      </c>
      <c r="C67" s="19" t="s">
        <v>308</v>
      </c>
      <c r="D67" s="19" t="s">
        <v>316</v>
      </c>
      <c r="E67" s="19" t="s">
        <v>307</v>
      </c>
      <c r="F67" s="19" t="s">
        <v>295</v>
      </c>
      <c r="G67" s="19" t="s">
        <v>337</v>
      </c>
      <c r="H67" s="19" t="s">
        <v>290</v>
      </c>
      <c r="I67" s="19" t="s">
        <v>357</v>
      </c>
      <c r="J67" s="19">
        <v>5</v>
      </c>
      <c r="K67" s="19" t="s">
        <v>315</v>
      </c>
      <c r="L67" s="19">
        <v>16</v>
      </c>
      <c r="M67" s="19">
        <v>1.1299999999999999</v>
      </c>
      <c r="N67" s="19">
        <v>0.05</v>
      </c>
      <c r="O67" s="19">
        <f t="shared" ref="O67:O85" si="12" xml:space="preserve"> N67*SQRT(L67)</f>
        <v>0.2</v>
      </c>
      <c r="P67" s="19">
        <v>16</v>
      </c>
      <c r="Q67" s="19">
        <v>1.1599999999999999</v>
      </c>
      <c r="R67" s="19">
        <v>0.05</v>
      </c>
      <c r="S67" s="19">
        <f t="shared" ref="S67:S130" si="13" xml:space="preserve"> R67*SQRT(P67)</f>
        <v>0.2</v>
      </c>
      <c r="T67" s="19">
        <v>16</v>
      </c>
      <c r="U67" s="19" t="s">
        <v>317</v>
      </c>
      <c r="V67" s="19" t="s">
        <v>703</v>
      </c>
      <c r="W67" s="19" t="str">
        <f t="shared" si="9"/>
        <v>0.022 </v>
      </c>
      <c r="X67" s="19" t="str">
        <f t="shared" ref="X67:X130" si="14">IF(W67&lt;=1, "Low", IF(W67&lt;10, "Medium", "High"))</f>
        <v>High</v>
      </c>
      <c r="Y67" s="19" t="s">
        <v>310</v>
      </c>
      <c r="Z67" s="19">
        <f t="shared" si="8"/>
        <v>2.6202372394024072E-2</v>
      </c>
      <c r="AA67" s="19">
        <f t="shared" si="10"/>
        <v>1.9578667084344907E-3</v>
      </c>
      <c r="AB67" s="19">
        <f t="shared" si="11"/>
        <v>1.8579072532699172E-3</v>
      </c>
      <c r="AC67" s="19">
        <f t="shared" ref="AC67:AC130" si="15">SUM(AA67,AB67)</f>
        <v>3.8157739617044077E-3</v>
      </c>
      <c r="AD67" s="19" t="s">
        <v>311</v>
      </c>
      <c r="AF67" s="19" t="s">
        <v>674</v>
      </c>
    </row>
    <row r="68" spans="1:32" s="19" customFormat="1" ht="15.75" x14ac:dyDescent="0.2">
      <c r="A68" s="19">
        <v>67</v>
      </c>
      <c r="B68" s="19">
        <v>5</v>
      </c>
      <c r="C68" s="19" t="s">
        <v>308</v>
      </c>
      <c r="D68" s="19" t="s">
        <v>316</v>
      </c>
      <c r="E68" s="19" t="s">
        <v>307</v>
      </c>
      <c r="F68" s="19" t="s">
        <v>295</v>
      </c>
      <c r="G68" s="19" t="s">
        <v>337</v>
      </c>
      <c r="H68" s="19" t="s">
        <v>290</v>
      </c>
      <c r="I68" s="19" t="s">
        <v>357</v>
      </c>
      <c r="J68" s="19">
        <v>5</v>
      </c>
      <c r="K68" s="19" t="s">
        <v>315</v>
      </c>
      <c r="L68" s="19">
        <v>16</v>
      </c>
      <c r="M68" s="19">
        <v>9.17</v>
      </c>
      <c r="N68" s="19">
        <v>0.49</v>
      </c>
      <c r="O68" s="19">
        <f t="shared" si="12"/>
        <v>1.96</v>
      </c>
      <c r="P68" s="19">
        <v>16</v>
      </c>
      <c r="Q68" s="19">
        <v>9.0399999999999991</v>
      </c>
      <c r="R68" s="19">
        <v>0.13</v>
      </c>
      <c r="S68" s="19">
        <f t="shared" si="13"/>
        <v>0.52</v>
      </c>
      <c r="T68" s="19">
        <v>16</v>
      </c>
      <c r="U68" s="19" t="s">
        <v>317</v>
      </c>
      <c r="V68" s="19" t="s">
        <v>703</v>
      </c>
      <c r="W68" s="19" t="str">
        <f t="shared" si="9"/>
        <v>0.022 </v>
      </c>
      <c r="X68" s="19" t="str">
        <f t="shared" si="14"/>
        <v>High</v>
      </c>
      <c r="Y68" s="19" t="s">
        <v>310</v>
      </c>
      <c r="Z68" s="19">
        <f t="shared" si="8"/>
        <v>-1.4278111864288512E-2</v>
      </c>
      <c r="AA68" s="19">
        <f t="shared" si="10"/>
        <v>2.855311462036012E-3</v>
      </c>
      <c r="AB68" s="19">
        <f t="shared" si="11"/>
        <v>2.0679967107839305E-4</v>
      </c>
      <c r="AC68" s="19">
        <f t="shared" si="15"/>
        <v>3.0621111331144051E-3</v>
      </c>
      <c r="AD68" s="19" t="s">
        <v>311</v>
      </c>
      <c r="AF68" s="19" t="s">
        <v>675</v>
      </c>
    </row>
    <row r="69" spans="1:32" s="19" customFormat="1" ht="15.75" x14ac:dyDescent="0.2">
      <c r="A69" s="19">
        <v>68</v>
      </c>
      <c r="B69" s="19">
        <v>5</v>
      </c>
      <c r="C69" s="19" t="s">
        <v>308</v>
      </c>
      <c r="D69" s="19" t="s">
        <v>316</v>
      </c>
      <c r="E69" s="19" t="s">
        <v>307</v>
      </c>
      <c r="F69" s="19" t="s">
        <v>295</v>
      </c>
      <c r="G69" s="19" t="s">
        <v>337</v>
      </c>
      <c r="H69" s="19" t="s">
        <v>290</v>
      </c>
      <c r="I69" s="19" t="s">
        <v>357</v>
      </c>
      <c r="J69" s="19">
        <v>5</v>
      </c>
      <c r="K69" s="19" t="s">
        <v>315</v>
      </c>
      <c r="L69" s="19">
        <v>16</v>
      </c>
      <c r="M69" s="19">
        <v>1.0900000000000001</v>
      </c>
      <c r="N69" s="19">
        <v>0.04</v>
      </c>
      <c r="O69" s="19">
        <f t="shared" si="12"/>
        <v>0.16</v>
      </c>
      <c r="P69" s="19">
        <v>16</v>
      </c>
      <c r="Q69" s="19">
        <v>1.07</v>
      </c>
      <c r="R69" s="19">
        <v>0.02</v>
      </c>
      <c r="S69" s="19">
        <f t="shared" si="13"/>
        <v>0.08</v>
      </c>
      <c r="T69" s="19">
        <v>16</v>
      </c>
      <c r="U69" s="19" t="s">
        <v>317</v>
      </c>
      <c r="V69" s="19" t="s">
        <v>703</v>
      </c>
      <c r="W69" s="19" t="str">
        <f t="shared" si="9"/>
        <v>0.022 </v>
      </c>
      <c r="X69" s="19" t="str">
        <f t="shared" si="14"/>
        <v>High</v>
      </c>
      <c r="Y69" s="19" t="s">
        <v>310</v>
      </c>
      <c r="Z69" s="19">
        <f t="shared" si="8"/>
        <v>-1.8519047767237531E-2</v>
      </c>
      <c r="AA69" s="19">
        <f t="shared" si="10"/>
        <v>1.3466879892264959E-3</v>
      </c>
      <c r="AB69" s="19">
        <f t="shared" si="11"/>
        <v>3.4937549130928467E-4</v>
      </c>
      <c r="AC69" s="19">
        <f t="shared" si="15"/>
        <v>1.6960634805357807E-3</v>
      </c>
      <c r="AD69" s="19" t="s">
        <v>311</v>
      </c>
      <c r="AF69" s="19" t="s">
        <v>676</v>
      </c>
    </row>
    <row r="70" spans="1:32" s="19" customFormat="1" ht="15.75" x14ac:dyDescent="0.2">
      <c r="A70" s="19">
        <v>69</v>
      </c>
      <c r="B70" s="19">
        <v>5</v>
      </c>
      <c r="C70" s="19" t="s">
        <v>308</v>
      </c>
      <c r="D70" s="19" t="s">
        <v>316</v>
      </c>
      <c r="E70" s="19" t="s">
        <v>307</v>
      </c>
      <c r="F70" s="19" t="s">
        <v>295</v>
      </c>
      <c r="G70" s="19" t="s">
        <v>337</v>
      </c>
      <c r="H70" s="19" t="s">
        <v>290</v>
      </c>
      <c r="I70" s="19" t="s">
        <v>357</v>
      </c>
      <c r="J70" s="19">
        <v>5</v>
      </c>
      <c r="K70" s="19" t="s">
        <v>315</v>
      </c>
      <c r="L70" s="19">
        <v>16</v>
      </c>
      <c r="M70" s="19">
        <v>0.17</v>
      </c>
      <c r="N70" s="19">
        <v>0.01</v>
      </c>
      <c r="O70" s="19">
        <f t="shared" si="12"/>
        <v>0.04</v>
      </c>
      <c r="P70" s="19">
        <v>16</v>
      </c>
      <c r="Q70" s="19">
        <v>0.21</v>
      </c>
      <c r="R70" s="19">
        <v>1.23E-3</v>
      </c>
      <c r="S70" s="19">
        <f t="shared" si="13"/>
        <v>4.9199999999999999E-3</v>
      </c>
      <c r="T70" s="19">
        <v>16</v>
      </c>
      <c r="U70" s="19" t="s">
        <v>317</v>
      </c>
      <c r="V70" s="19" t="s">
        <v>703</v>
      </c>
      <c r="W70" s="19" t="str">
        <f t="shared" si="9"/>
        <v>0.022 </v>
      </c>
      <c r="X70" s="19" t="str">
        <f t="shared" si="14"/>
        <v>High</v>
      </c>
      <c r="Y70" s="19" t="s">
        <v>310</v>
      </c>
      <c r="Z70" s="19">
        <f t="shared" si="8"/>
        <v>0.21130909366720677</v>
      </c>
      <c r="AA70" s="19">
        <f t="shared" si="10"/>
        <v>3.4602076124567471E-3</v>
      </c>
      <c r="AB70" s="19">
        <f t="shared" si="11"/>
        <v>3.4306122448979599E-5</v>
      </c>
      <c r="AC70" s="19">
        <f t="shared" si="15"/>
        <v>3.4945137349057269E-3</v>
      </c>
      <c r="AD70" s="19" t="s">
        <v>311</v>
      </c>
      <c r="AF70" s="19" t="s">
        <v>677</v>
      </c>
    </row>
    <row r="71" spans="1:32" s="19" customFormat="1" ht="15.75" x14ac:dyDescent="0.2">
      <c r="A71" s="19">
        <v>70</v>
      </c>
      <c r="B71" s="19">
        <v>5</v>
      </c>
      <c r="C71" s="19" t="s">
        <v>308</v>
      </c>
      <c r="D71" s="19" t="s">
        <v>316</v>
      </c>
      <c r="E71" s="19" t="s">
        <v>307</v>
      </c>
      <c r="F71" s="19" t="s">
        <v>295</v>
      </c>
      <c r="G71" s="19" t="s">
        <v>337</v>
      </c>
      <c r="H71" s="19" t="s">
        <v>290</v>
      </c>
      <c r="I71" s="19" t="s">
        <v>357</v>
      </c>
      <c r="J71" s="19">
        <v>5</v>
      </c>
      <c r="K71" s="19" t="s">
        <v>315</v>
      </c>
      <c r="L71" s="19">
        <v>16</v>
      </c>
      <c r="M71" s="19">
        <v>0.08</v>
      </c>
      <c r="N71" s="19">
        <v>3.21E-4</v>
      </c>
      <c r="O71" s="19">
        <f t="shared" si="12"/>
        <v>1.284E-3</v>
      </c>
      <c r="P71" s="19">
        <v>16</v>
      </c>
      <c r="Q71" s="19">
        <v>7.0000000000000007E-2</v>
      </c>
      <c r="R71" s="19">
        <v>3.0000000000000001E-3</v>
      </c>
      <c r="S71" s="19">
        <f t="shared" si="13"/>
        <v>1.2E-2</v>
      </c>
      <c r="T71" s="19">
        <v>16</v>
      </c>
      <c r="U71" s="19" t="s">
        <v>317</v>
      </c>
      <c r="V71" s="19" t="s">
        <v>703</v>
      </c>
      <c r="W71" s="19" t="str">
        <f t="shared" si="9"/>
        <v>0.022 </v>
      </c>
      <c r="X71" s="19" t="str">
        <f t="shared" si="14"/>
        <v>High</v>
      </c>
      <c r="Y71" s="19" t="s">
        <v>310</v>
      </c>
      <c r="Z71" s="19">
        <f t="shared" si="8"/>
        <v>-0.13353139262452257</v>
      </c>
      <c r="AA71" s="19">
        <f t="shared" si="10"/>
        <v>1.6100156250000001E-5</v>
      </c>
      <c r="AB71" s="19">
        <f t="shared" si="11"/>
        <v>1.8367346938775507E-3</v>
      </c>
      <c r="AC71" s="19">
        <f t="shared" si="15"/>
        <v>1.8528348501275506E-3</v>
      </c>
      <c r="AD71" s="19" t="s">
        <v>311</v>
      </c>
      <c r="AF71" s="19" t="s">
        <v>327</v>
      </c>
    </row>
    <row r="72" spans="1:32" s="19" customFormat="1" ht="15.75" x14ac:dyDescent="0.2">
      <c r="A72" s="19">
        <v>71</v>
      </c>
      <c r="B72" s="19">
        <v>5</v>
      </c>
      <c r="C72" s="19" t="s">
        <v>308</v>
      </c>
      <c r="D72" s="19" t="s">
        <v>316</v>
      </c>
      <c r="E72" s="19" t="s">
        <v>307</v>
      </c>
      <c r="F72" s="19" t="s">
        <v>295</v>
      </c>
      <c r="G72" s="19" t="s">
        <v>337</v>
      </c>
      <c r="H72" s="19" t="s">
        <v>290</v>
      </c>
      <c r="I72" s="19" t="s">
        <v>357</v>
      </c>
      <c r="J72" s="19">
        <v>5</v>
      </c>
      <c r="K72" s="19" t="s">
        <v>315</v>
      </c>
      <c r="L72" s="19">
        <v>16</v>
      </c>
      <c r="M72" s="19">
        <v>0.28499999999999998</v>
      </c>
      <c r="N72" s="19">
        <v>2.4500000000000001E-2</v>
      </c>
      <c r="O72" s="19">
        <f t="shared" si="12"/>
        <v>9.8000000000000004E-2</v>
      </c>
      <c r="P72" s="19">
        <v>16</v>
      </c>
      <c r="Q72" s="19">
        <v>0.28000000000000003</v>
      </c>
      <c r="R72" s="19">
        <v>2.1399999999999999E-2</v>
      </c>
      <c r="S72" s="19">
        <f t="shared" si="13"/>
        <v>8.5599999999999996E-2</v>
      </c>
      <c r="T72" s="19">
        <v>16</v>
      </c>
      <c r="U72" s="19" t="s">
        <v>317</v>
      </c>
      <c r="V72" s="19" t="s">
        <v>703</v>
      </c>
      <c r="W72" s="19" t="str">
        <f t="shared" si="9"/>
        <v>0.022 </v>
      </c>
      <c r="X72" s="19" t="str">
        <f t="shared" si="14"/>
        <v>High</v>
      </c>
      <c r="Y72" s="19" t="s">
        <v>310</v>
      </c>
      <c r="Z72" s="19">
        <f t="shared" si="8"/>
        <v>-1.7699577099400638E-2</v>
      </c>
      <c r="AA72" s="19">
        <f t="shared" si="10"/>
        <v>7.3899661434287493E-3</v>
      </c>
      <c r="AB72" s="19">
        <f t="shared" si="11"/>
        <v>5.8413265306122434E-3</v>
      </c>
      <c r="AC72" s="19">
        <f t="shared" si="15"/>
        <v>1.3231292674040992E-2</v>
      </c>
      <c r="AD72" s="19" t="s">
        <v>311</v>
      </c>
      <c r="AF72" s="19" t="s">
        <v>678</v>
      </c>
    </row>
    <row r="73" spans="1:32" s="19" customFormat="1" ht="15.75" x14ac:dyDescent="0.2">
      <c r="A73" s="19">
        <v>72</v>
      </c>
      <c r="B73" s="19">
        <v>5</v>
      </c>
      <c r="C73" s="19" t="s">
        <v>308</v>
      </c>
      <c r="D73" s="19" t="s">
        <v>316</v>
      </c>
      <c r="E73" s="19" t="s">
        <v>307</v>
      </c>
      <c r="F73" s="19" t="s">
        <v>295</v>
      </c>
      <c r="G73" s="19" t="s">
        <v>337</v>
      </c>
      <c r="H73" s="19" t="s">
        <v>290</v>
      </c>
      <c r="I73" s="19" t="s">
        <v>357</v>
      </c>
      <c r="J73" s="19">
        <v>5</v>
      </c>
      <c r="K73" s="19" t="s">
        <v>315</v>
      </c>
      <c r="L73" s="19">
        <v>16</v>
      </c>
      <c r="M73" s="19">
        <v>0.58599999999999997</v>
      </c>
      <c r="N73" s="19">
        <v>0.02</v>
      </c>
      <c r="O73" s="19">
        <f t="shared" si="12"/>
        <v>0.08</v>
      </c>
      <c r="P73" s="19">
        <v>16</v>
      </c>
      <c r="Q73" s="19">
        <v>0.57999999999999996</v>
      </c>
      <c r="R73" s="19">
        <v>0.01</v>
      </c>
      <c r="S73" s="19">
        <f t="shared" si="13"/>
        <v>0.04</v>
      </c>
      <c r="T73" s="19">
        <v>16</v>
      </c>
      <c r="U73" s="19" t="s">
        <v>317</v>
      </c>
      <c r="V73" s="19" t="s">
        <v>703</v>
      </c>
      <c r="W73" s="19" t="str">
        <f t="shared" si="9"/>
        <v>0.022 </v>
      </c>
      <c r="X73" s="19" t="str">
        <f t="shared" si="14"/>
        <v>High</v>
      </c>
      <c r="Y73" s="19" t="s">
        <v>310</v>
      </c>
      <c r="Z73" s="19">
        <f t="shared" si="8"/>
        <v>-1.0291686036547506E-2</v>
      </c>
      <c r="AA73" s="19">
        <f t="shared" si="10"/>
        <v>1.1648359328588569E-3</v>
      </c>
      <c r="AB73" s="19">
        <f t="shared" si="11"/>
        <v>2.9726516052318671E-4</v>
      </c>
      <c r="AC73" s="19">
        <f t="shared" si="15"/>
        <v>1.4621010933820436E-3</v>
      </c>
      <c r="AD73" s="19" t="s">
        <v>311</v>
      </c>
      <c r="AF73" s="19" t="s">
        <v>679</v>
      </c>
    </row>
    <row r="74" spans="1:32" s="19" customFormat="1" ht="15.75" x14ac:dyDescent="0.2">
      <c r="A74" s="19">
        <v>73</v>
      </c>
      <c r="B74" s="19">
        <v>5</v>
      </c>
      <c r="C74" s="19" t="s">
        <v>308</v>
      </c>
      <c r="D74" s="19" t="s">
        <v>316</v>
      </c>
      <c r="E74" s="19" t="s">
        <v>307</v>
      </c>
      <c r="F74" s="19" t="s">
        <v>295</v>
      </c>
      <c r="G74" s="19" t="s">
        <v>337</v>
      </c>
      <c r="H74" s="19" t="s">
        <v>290</v>
      </c>
      <c r="I74" s="19" t="s">
        <v>357</v>
      </c>
      <c r="J74" s="19">
        <v>5</v>
      </c>
      <c r="K74" s="19" t="s">
        <v>315</v>
      </c>
      <c r="L74" s="19">
        <v>16</v>
      </c>
      <c r="M74" s="19">
        <v>3.2099999999999997E-2</v>
      </c>
      <c r="N74" s="19">
        <v>1.2E-4</v>
      </c>
      <c r="O74" s="19">
        <f t="shared" si="12"/>
        <v>4.8000000000000001E-4</v>
      </c>
      <c r="P74" s="19">
        <v>16</v>
      </c>
      <c r="Q74" s="19">
        <v>0.03</v>
      </c>
      <c r="R74" s="19">
        <v>3.0000000000000001E-3</v>
      </c>
      <c r="S74" s="19">
        <f t="shared" si="13"/>
        <v>1.2E-2</v>
      </c>
      <c r="T74" s="19">
        <v>16</v>
      </c>
      <c r="U74" s="19" t="s">
        <v>317</v>
      </c>
      <c r="V74" s="19" t="s">
        <v>703</v>
      </c>
      <c r="W74" s="19" t="str">
        <f t="shared" si="9"/>
        <v>0.022 </v>
      </c>
      <c r="X74" s="19" t="str">
        <f t="shared" si="14"/>
        <v>High</v>
      </c>
      <c r="Y74" s="19" t="s">
        <v>310</v>
      </c>
      <c r="Z74" s="19">
        <f t="shared" si="8"/>
        <v>-6.7658648473814656E-2</v>
      </c>
      <c r="AA74" s="19">
        <f t="shared" si="10"/>
        <v>1.3975019652371389E-5</v>
      </c>
      <c r="AB74" s="19">
        <f t="shared" si="11"/>
        <v>0.01</v>
      </c>
      <c r="AC74" s="19">
        <f t="shared" si="15"/>
        <v>1.0013975019652371E-2</v>
      </c>
      <c r="AD74" s="19" t="s">
        <v>311</v>
      </c>
      <c r="AF74" s="19" t="s">
        <v>680</v>
      </c>
    </row>
    <row r="75" spans="1:32" s="19" customFormat="1" ht="15.75" x14ac:dyDescent="0.2">
      <c r="A75" s="19">
        <v>74</v>
      </c>
      <c r="B75" s="19">
        <v>5</v>
      </c>
      <c r="C75" s="19" t="s">
        <v>308</v>
      </c>
      <c r="D75" s="19" t="s">
        <v>316</v>
      </c>
      <c r="E75" s="19" t="s">
        <v>307</v>
      </c>
      <c r="F75" s="19" t="s">
        <v>295</v>
      </c>
      <c r="G75" s="19" t="s">
        <v>337</v>
      </c>
      <c r="H75" s="19" t="s">
        <v>290</v>
      </c>
      <c r="I75" s="19" t="s">
        <v>357</v>
      </c>
      <c r="J75" s="19">
        <v>5</v>
      </c>
      <c r="K75" s="19" t="s">
        <v>315</v>
      </c>
      <c r="L75" s="19">
        <v>16</v>
      </c>
      <c r="M75" s="19">
        <v>2.1299999999999999E-2</v>
      </c>
      <c r="N75" s="19">
        <v>1.25E-4</v>
      </c>
      <c r="O75" s="19">
        <f t="shared" si="12"/>
        <v>5.0000000000000001E-4</v>
      </c>
      <c r="P75" s="19">
        <v>16</v>
      </c>
      <c r="Q75" s="19">
        <v>0.01</v>
      </c>
      <c r="R75" s="19">
        <v>1.2E-4</v>
      </c>
      <c r="S75" s="19">
        <f t="shared" si="13"/>
        <v>4.8000000000000001E-4</v>
      </c>
      <c r="T75" s="19">
        <v>16</v>
      </c>
      <c r="U75" s="19" t="s">
        <v>317</v>
      </c>
      <c r="V75" s="19" t="s">
        <v>703</v>
      </c>
      <c r="W75" s="19" t="str">
        <f t="shared" si="9"/>
        <v>0.022 </v>
      </c>
      <c r="X75" s="19" t="str">
        <f t="shared" si="14"/>
        <v>High</v>
      </c>
      <c r="Y75" s="19" t="s">
        <v>310</v>
      </c>
      <c r="Z75" s="19">
        <f t="shared" si="8"/>
        <v>-0.75612197972133366</v>
      </c>
      <c r="AA75" s="19">
        <f t="shared" si="10"/>
        <v>3.4439815733209903E-5</v>
      </c>
      <c r="AB75" s="19">
        <f t="shared" si="11"/>
        <v>1.44E-4</v>
      </c>
      <c r="AC75" s="19">
        <f t="shared" si="15"/>
        <v>1.7843981573320989E-4</v>
      </c>
      <c r="AD75" s="19" t="s">
        <v>311</v>
      </c>
      <c r="AF75" s="19" t="s">
        <v>681</v>
      </c>
    </row>
    <row r="76" spans="1:32" s="19" customFormat="1" ht="15.75" x14ac:dyDescent="0.2">
      <c r="A76" s="19">
        <v>75</v>
      </c>
      <c r="B76" s="19">
        <v>5</v>
      </c>
      <c r="C76" s="19" t="s">
        <v>308</v>
      </c>
      <c r="D76" s="19" t="s">
        <v>316</v>
      </c>
      <c r="E76" s="19" t="s">
        <v>307</v>
      </c>
      <c r="F76" s="19" t="s">
        <v>295</v>
      </c>
      <c r="G76" s="19" t="s">
        <v>337</v>
      </c>
      <c r="H76" s="19" t="s">
        <v>290</v>
      </c>
      <c r="I76" s="19" t="s">
        <v>357</v>
      </c>
      <c r="J76" s="19">
        <v>5</v>
      </c>
      <c r="K76" s="19" t="s">
        <v>315</v>
      </c>
      <c r="L76" s="19">
        <v>16</v>
      </c>
      <c r="M76" s="19">
        <v>0.11</v>
      </c>
      <c r="N76" s="19">
        <v>0.01</v>
      </c>
      <c r="O76" s="19">
        <f t="shared" si="12"/>
        <v>0.04</v>
      </c>
      <c r="P76" s="19">
        <v>16</v>
      </c>
      <c r="Q76" s="19">
        <v>0.1</v>
      </c>
      <c r="R76" s="19">
        <v>1.2300000000000001E-4</v>
      </c>
      <c r="S76" s="19">
        <f t="shared" si="13"/>
        <v>4.9200000000000003E-4</v>
      </c>
      <c r="T76" s="19">
        <v>16</v>
      </c>
      <c r="U76" s="19" t="s">
        <v>317</v>
      </c>
      <c r="V76" s="19" t="s">
        <v>703</v>
      </c>
      <c r="W76" s="19" t="str">
        <f t="shared" si="9"/>
        <v>0.022 </v>
      </c>
      <c r="X76" s="19" t="str">
        <f t="shared" si="14"/>
        <v>High</v>
      </c>
      <c r="Y76" s="19" t="s">
        <v>310</v>
      </c>
      <c r="Z76" s="19">
        <f t="shared" si="8"/>
        <v>-9.5310179804324741E-2</v>
      </c>
      <c r="AA76" s="19">
        <f t="shared" si="10"/>
        <v>8.2644628099173556E-3</v>
      </c>
      <c r="AB76" s="19">
        <f t="shared" si="11"/>
        <v>1.5128999999999999E-6</v>
      </c>
      <c r="AC76" s="19">
        <f t="shared" si="15"/>
        <v>8.2659757099173559E-3</v>
      </c>
      <c r="AD76" s="19" t="s">
        <v>311</v>
      </c>
      <c r="AF76" s="19" t="s">
        <v>682</v>
      </c>
    </row>
    <row r="77" spans="1:32" s="19" customFormat="1" ht="15.75" x14ac:dyDescent="0.2">
      <c r="A77" s="19">
        <v>76</v>
      </c>
      <c r="B77" s="19">
        <v>5</v>
      </c>
      <c r="C77" s="19" t="s">
        <v>308</v>
      </c>
      <c r="D77" s="19" t="s">
        <v>316</v>
      </c>
      <c r="E77" s="19" t="s">
        <v>307</v>
      </c>
      <c r="F77" s="19" t="s">
        <v>295</v>
      </c>
      <c r="G77" s="19" t="s">
        <v>337</v>
      </c>
      <c r="H77" s="19" t="s">
        <v>290</v>
      </c>
      <c r="I77" s="19" t="s">
        <v>357</v>
      </c>
      <c r="J77" s="19">
        <v>5</v>
      </c>
      <c r="K77" s="19" t="s">
        <v>315</v>
      </c>
      <c r="L77" s="19">
        <v>16</v>
      </c>
      <c r="M77" s="19">
        <v>0.12</v>
      </c>
      <c r="N77" s="19">
        <v>1.4200000000000001E-4</v>
      </c>
      <c r="O77" s="19">
        <f t="shared" si="12"/>
        <v>5.6800000000000004E-4</v>
      </c>
      <c r="P77" s="19">
        <v>16</v>
      </c>
      <c r="Q77" s="19">
        <v>0.1</v>
      </c>
      <c r="R77" s="19">
        <v>1.235E-2</v>
      </c>
      <c r="S77" s="19">
        <f t="shared" si="13"/>
        <v>4.9399999999999999E-2</v>
      </c>
      <c r="T77" s="19">
        <v>16</v>
      </c>
      <c r="U77" s="19" t="s">
        <v>317</v>
      </c>
      <c r="V77" s="19" t="s">
        <v>703</v>
      </c>
      <c r="W77" s="19" t="str">
        <f t="shared" si="9"/>
        <v>0.022 </v>
      </c>
      <c r="X77" s="19" t="str">
        <f t="shared" si="14"/>
        <v>High</v>
      </c>
      <c r="Y77" s="19" t="s">
        <v>310</v>
      </c>
      <c r="Z77" s="19">
        <f t="shared" si="8"/>
        <v>-0.18232155679395459</v>
      </c>
      <c r="AA77" s="19">
        <f t="shared" si="10"/>
        <v>1.400277777777778E-6</v>
      </c>
      <c r="AB77" s="19">
        <f t="shared" si="11"/>
        <v>1.5252249999999997E-2</v>
      </c>
      <c r="AC77" s="19">
        <f t="shared" si="15"/>
        <v>1.5253650277777775E-2</v>
      </c>
      <c r="AD77" s="19" t="s">
        <v>311</v>
      </c>
      <c r="AF77" s="19" t="s">
        <v>328</v>
      </c>
    </row>
    <row r="78" spans="1:32" s="19" customFormat="1" ht="15.75" x14ac:dyDescent="0.2">
      <c r="A78" s="19">
        <v>77</v>
      </c>
      <c r="B78" s="19">
        <v>5</v>
      </c>
      <c r="C78" s="19" t="s">
        <v>308</v>
      </c>
      <c r="D78" s="19" t="s">
        <v>316</v>
      </c>
      <c r="E78" s="19" t="s">
        <v>307</v>
      </c>
      <c r="F78" s="19" t="s">
        <v>295</v>
      </c>
      <c r="G78" s="19" t="s">
        <v>337</v>
      </c>
      <c r="H78" s="19" t="s">
        <v>290</v>
      </c>
      <c r="I78" s="19" t="s">
        <v>357</v>
      </c>
      <c r="J78" s="19">
        <v>5</v>
      </c>
      <c r="K78" s="19" t="s">
        <v>315</v>
      </c>
      <c r="L78" s="19">
        <v>16</v>
      </c>
      <c r="M78" s="19">
        <v>4.2299999999999997E-2</v>
      </c>
      <c r="N78" s="19">
        <v>3.2000000000000003E-4</v>
      </c>
      <c r="O78" s="19">
        <f t="shared" si="12"/>
        <v>1.2800000000000001E-3</v>
      </c>
      <c r="P78" s="19">
        <v>16</v>
      </c>
      <c r="Q78" s="19">
        <v>0.03</v>
      </c>
      <c r="R78" s="19">
        <v>2.0999999999999999E-3</v>
      </c>
      <c r="S78" s="19">
        <f t="shared" si="13"/>
        <v>8.3999999999999995E-3</v>
      </c>
      <c r="T78" s="19">
        <v>16</v>
      </c>
      <c r="U78" s="19" t="s">
        <v>317</v>
      </c>
      <c r="V78" s="19" t="s">
        <v>703</v>
      </c>
      <c r="W78" s="19" t="str">
        <f t="shared" si="9"/>
        <v>0.022 </v>
      </c>
      <c r="X78" s="19" t="str">
        <f t="shared" si="14"/>
        <v>High</v>
      </c>
      <c r="Y78" s="19" t="s">
        <v>310</v>
      </c>
      <c r="Z78" s="19">
        <f t="shared" si="8"/>
        <v>-0.34358970439007686</v>
      </c>
      <c r="AA78" s="19">
        <f t="shared" si="10"/>
        <v>5.7229403841747299E-5</v>
      </c>
      <c r="AB78" s="19">
        <f t="shared" si="11"/>
        <v>4.899999999999999E-3</v>
      </c>
      <c r="AC78" s="19">
        <f t="shared" si="15"/>
        <v>4.9572294038417461E-3</v>
      </c>
      <c r="AD78" s="19" t="s">
        <v>311</v>
      </c>
      <c r="AF78" s="19" t="s">
        <v>683</v>
      </c>
    </row>
    <row r="79" spans="1:32" s="19" customFormat="1" ht="15.75" x14ac:dyDescent="0.2">
      <c r="A79" s="19">
        <v>78</v>
      </c>
      <c r="B79" s="19">
        <v>5</v>
      </c>
      <c r="C79" s="19" t="s">
        <v>308</v>
      </c>
      <c r="D79" s="19" t="s">
        <v>316</v>
      </c>
      <c r="E79" s="19" t="s">
        <v>307</v>
      </c>
      <c r="F79" s="19" t="s">
        <v>295</v>
      </c>
      <c r="G79" s="19" t="s">
        <v>337</v>
      </c>
      <c r="H79" s="19" t="s">
        <v>290</v>
      </c>
      <c r="I79" s="19" t="s">
        <v>357</v>
      </c>
      <c r="J79" s="19">
        <v>5</v>
      </c>
      <c r="K79" s="19" t="s">
        <v>315</v>
      </c>
      <c r="L79" s="19">
        <v>16</v>
      </c>
      <c r="M79" s="19">
        <v>0.41</v>
      </c>
      <c r="N79" s="19">
        <v>2.0999999999999999E-3</v>
      </c>
      <c r="O79" s="19">
        <f t="shared" si="12"/>
        <v>8.3999999999999995E-3</v>
      </c>
      <c r="P79" s="19">
        <v>16</v>
      </c>
      <c r="Q79" s="19">
        <v>0.39</v>
      </c>
      <c r="R79" s="19">
        <v>2.1299999999999999E-2</v>
      </c>
      <c r="S79" s="19">
        <f t="shared" si="13"/>
        <v>8.5199999999999998E-2</v>
      </c>
      <c r="T79" s="19">
        <v>16</v>
      </c>
      <c r="U79" s="19" t="s">
        <v>317</v>
      </c>
      <c r="V79" s="19" t="s">
        <v>703</v>
      </c>
      <c r="W79" s="19" t="str">
        <f t="shared" si="9"/>
        <v>0.022 </v>
      </c>
      <c r="X79" s="19" t="str">
        <f t="shared" si="14"/>
        <v>High</v>
      </c>
      <c r="Y79" s="19" t="s">
        <v>310</v>
      </c>
      <c r="Z79" s="19">
        <f t="shared" si="8"/>
        <v>-5.00104205746612E-2</v>
      </c>
      <c r="AA79" s="19">
        <f t="shared" si="10"/>
        <v>2.6234384295062464E-5</v>
      </c>
      <c r="AB79" s="19">
        <f t="shared" si="11"/>
        <v>2.9828402366863902E-3</v>
      </c>
      <c r="AC79" s="19">
        <f t="shared" si="15"/>
        <v>3.0090746209814525E-3</v>
      </c>
      <c r="AD79" s="19" t="s">
        <v>311</v>
      </c>
      <c r="AF79" s="19" t="s">
        <v>329</v>
      </c>
    </row>
    <row r="80" spans="1:32" s="19" customFormat="1" ht="15.75" x14ac:dyDescent="0.2">
      <c r="A80" s="19">
        <v>79</v>
      </c>
      <c r="B80" s="19">
        <v>5</v>
      </c>
      <c r="C80" s="19" t="s">
        <v>308</v>
      </c>
      <c r="D80" s="19" t="s">
        <v>316</v>
      </c>
      <c r="E80" s="19" t="s">
        <v>307</v>
      </c>
      <c r="F80" s="19" t="s">
        <v>295</v>
      </c>
      <c r="G80" s="19" t="s">
        <v>337</v>
      </c>
      <c r="H80" s="19" t="s">
        <v>290</v>
      </c>
      <c r="I80" s="19" t="s">
        <v>357</v>
      </c>
      <c r="J80" s="19">
        <v>5</v>
      </c>
      <c r="K80" s="19" t="s">
        <v>315</v>
      </c>
      <c r="L80" s="19">
        <v>16</v>
      </c>
      <c r="M80" s="19">
        <v>2.2400000000000002</v>
      </c>
      <c r="N80" s="19">
        <v>0.51400000000000001</v>
      </c>
      <c r="O80" s="19">
        <f t="shared" si="12"/>
        <v>2.056</v>
      </c>
      <c r="P80" s="19">
        <v>16</v>
      </c>
      <c r="Q80" s="19">
        <v>2.19</v>
      </c>
      <c r="R80" s="19">
        <v>3.2100000000000002E-3</v>
      </c>
      <c r="S80" s="19">
        <f t="shared" si="13"/>
        <v>1.2840000000000001E-2</v>
      </c>
      <c r="T80" s="19">
        <v>16</v>
      </c>
      <c r="U80" s="19" t="s">
        <v>317</v>
      </c>
      <c r="V80" s="19" t="s">
        <v>703</v>
      </c>
      <c r="W80" s="19" t="str">
        <f t="shared" si="9"/>
        <v>0.022 </v>
      </c>
      <c r="X80" s="19" t="str">
        <f t="shared" si="14"/>
        <v>High</v>
      </c>
      <c r="Y80" s="19" t="s">
        <v>310</v>
      </c>
      <c r="Z80" s="19">
        <f t="shared" si="8"/>
        <v>-2.2574322038539194E-2</v>
      </c>
      <c r="AA80" s="19">
        <f t="shared" si="10"/>
        <v>5.2653858418367339E-2</v>
      </c>
      <c r="AB80" s="19">
        <f t="shared" si="11"/>
        <v>2.1484331018952903E-6</v>
      </c>
      <c r="AC80" s="19">
        <f t="shared" si="15"/>
        <v>5.2656006851469234E-2</v>
      </c>
      <c r="AD80" s="19" t="s">
        <v>311</v>
      </c>
      <c r="AF80" s="19" t="s">
        <v>330</v>
      </c>
    </row>
    <row r="81" spans="1:33" s="21" customFormat="1" ht="15.75" customHeight="1" x14ac:dyDescent="0.2">
      <c r="A81" s="21">
        <v>80</v>
      </c>
      <c r="B81" s="21">
        <v>6</v>
      </c>
      <c r="C81" s="21" t="s">
        <v>347</v>
      </c>
      <c r="D81" s="21" t="s">
        <v>365</v>
      </c>
      <c r="E81" s="21" t="s">
        <v>349</v>
      </c>
      <c r="F81" s="21" t="s">
        <v>333</v>
      </c>
      <c r="G81" s="21" t="s">
        <v>73</v>
      </c>
      <c r="H81" s="21" t="s">
        <v>360</v>
      </c>
      <c r="I81" s="21" t="s">
        <v>357</v>
      </c>
      <c r="J81" s="21">
        <v>6</v>
      </c>
      <c r="K81" s="21" t="s">
        <v>359</v>
      </c>
      <c r="L81" s="21">
        <v>3</v>
      </c>
      <c r="M81" s="21">
        <v>2.1848299999999998</v>
      </c>
      <c r="N81" s="21">
        <v>5.2160000000000206E-2</v>
      </c>
      <c r="O81" s="21">
        <f t="shared" si="12"/>
        <v>9.0343770122792988E-2</v>
      </c>
      <c r="P81" s="21">
        <v>3</v>
      </c>
      <c r="Q81" s="21">
        <v>1.9142300000000001</v>
      </c>
      <c r="R81" s="21">
        <v>3.5870000000000068E-2</v>
      </c>
      <c r="S81" s="21">
        <f t="shared" si="13"/>
        <v>6.2128662467495745E-2</v>
      </c>
      <c r="T81" s="21">
        <v>3</v>
      </c>
      <c r="U81" s="21" t="s">
        <v>352</v>
      </c>
      <c r="V81" s="21">
        <v>100</v>
      </c>
      <c r="W81" s="21">
        <f xml:space="preserve"> V81 * 1</f>
        <v>100</v>
      </c>
      <c r="X81" s="21" t="str">
        <f t="shared" si="14"/>
        <v>High</v>
      </c>
      <c r="Y81" s="21" t="s">
        <v>366</v>
      </c>
      <c r="Z81" s="21">
        <f t="shared" ref="Z81:Z112" si="16">LN(M81/Q81)</f>
        <v>0.13222256931666879</v>
      </c>
      <c r="AA81" s="21">
        <f t="shared" si="10"/>
        <v>5.6995407682126811E-4</v>
      </c>
      <c r="AB81" s="21">
        <f t="shared" si="11"/>
        <v>3.5113532029940032E-4</v>
      </c>
      <c r="AC81" s="21">
        <f t="shared" si="15"/>
        <v>9.2108939712066842E-4</v>
      </c>
      <c r="AD81" s="21" t="s">
        <v>350</v>
      </c>
      <c r="AF81" s="21" t="s">
        <v>364</v>
      </c>
      <c r="AG81" s="21" t="s">
        <v>369</v>
      </c>
    </row>
    <row r="82" spans="1:33" s="21" customFormat="1" ht="15.75" x14ac:dyDescent="0.2">
      <c r="A82" s="21">
        <v>81</v>
      </c>
      <c r="B82" s="21">
        <v>6</v>
      </c>
      <c r="C82" s="21" t="s">
        <v>347</v>
      </c>
      <c r="D82" s="21" t="s">
        <v>365</v>
      </c>
      <c r="E82" s="21" t="s">
        <v>349</v>
      </c>
      <c r="F82" s="21" t="s">
        <v>333</v>
      </c>
      <c r="G82" s="21" t="s">
        <v>73</v>
      </c>
      <c r="H82" s="21" t="s">
        <v>360</v>
      </c>
      <c r="I82" s="21" t="s">
        <v>357</v>
      </c>
      <c r="J82" s="21">
        <v>6</v>
      </c>
      <c r="K82" s="21" t="s">
        <v>359</v>
      </c>
      <c r="L82" s="21">
        <v>3</v>
      </c>
      <c r="M82" s="21">
        <v>2.43588</v>
      </c>
      <c r="N82" s="21">
        <v>0.68468000000000018</v>
      </c>
      <c r="O82" s="21">
        <f t="shared" si="12"/>
        <v>1.1859005469262591</v>
      </c>
      <c r="P82" s="21">
        <v>3</v>
      </c>
      <c r="Q82" s="21">
        <v>1.9142300000000001</v>
      </c>
      <c r="R82" s="21">
        <v>3.5870000000000068E-2</v>
      </c>
      <c r="S82" s="21">
        <f t="shared" si="13"/>
        <v>6.2128662467495745E-2</v>
      </c>
      <c r="T82" s="21">
        <v>3</v>
      </c>
      <c r="U82" s="21" t="s">
        <v>353</v>
      </c>
      <c r="V82" s="21">
        <v>10000</v>
      </c>
      <c r="W82" s="21">
        <f t="shared" ref="W82:W128" si="17" xml:space="preserve"> V82 * 1</f>
        <v>10000</v>
      </c>
      <c r="X82" s="21" t="str">
        <f t="shared" si="14"/>
        <v>High</v>
      </c>
      <c r="Y82" s="21" t="s">
        <v>366</v>
      </c>
      <c r="Z82" s="21">
        <f t="shared" si="16"/>
        <v>0.24099263455014283</v>
      </c>
      <c r="AA82" s="21">
        <f t="shared" si="10"/>
        <v>7.9006624040963286E-2</v>
      </c>
      <c r="AB82" s="21">
        <f t="shared" si="11"/>
        <v>3.5113532029940032E-4</v>
      </c>
      <c r="AC82" s="21">
        <f t="shared" si="15"/>
        <v>7.9357759361262686E-2</v>
      </c>
      <c r="AD82" s="21" t="s">
        <v>350</v>
      </c>
      <c r="AF82" s="21" t="s">
        <v>364</v>
      </c>
    </row>
    <row r="83" spans="1:33" s="21" customFormat="1" ht="15.75" x14ac:dyDescent="0.2">
      <c r="A83" s="21">
        <v>82</v>
      </c>
      <c r="B83" s="21">
        <v>6</v>
      </c>
      <c r="C83" s="21" t="s">
        <v>347</v>
      </c>
      <c r="D83" s="21" t="s">
        <v>365</v>
      </c>
      <c r="E83" s="21" t="s">
        <v>349</v>
      </c>
      <c r="F83" s="21" t="s">
        <v>333</v>
      </c>
      <c r="G83" s="21" t="s">
        <v>73</v>
      </c>
      <c r="H83" s="21" t="s">
        <v>360</v>
      </c>
      <c r="I83" s="21" t="s">
        <v>357</v>
      </c>
      <c r="J83" s="21">
        <v>6</v>
      </c>
      <c r="K83" s="21" t="s">
        <v>359</v>
      </c>
      <c r="L83" s="21">
        <v>3</v>
      </c>
      <c r="M83" s="21">
        <v>2.12941</v>
      </c>
      <c r="N83" s="21">
        <v>9.1289999999999871E-2</v>
      </c>
      <c r="O83" s="21">
        <f t="shared" si="12"/>
        <v>0.15811891822296256</v>
      </c>
      <c r="P83" s="21">
        <v>3</v>
      </c>
      <c r="Q83" s="21">
        <v>1.9142300000000001</v>
      </c>
      <c r="R83" s="21">
        <v>3.5870000000000068E-2</v>
      </c>
      <c r="S83" s="21">
        <f t="shared" si="13"/>
        <v>6.2128662467495745E-2</v>
      </c>
      <c r="T83" s="21">
        <v>3</v>
      </c>
      <c r="U83" s="21" t="s">
        <v>354</v>
      </c>
      <c r="V83" s="21">
        <v>100000</v>
      </c>
      <c r="W83" s="21">
        <f t="shared" si="17"/>
        <v>100000</v>
      </c>
      <c r="X83" s="21" t="str">
        <f t="shared" si="14"/>
        <v>High</v>
      </c>
      <c r="Y83" s="21" t="s">
        <v>366</v>
      </c>
      <c r="Z83" s="21">
        <f t="shared" si="16"/>
        <v>0.10652949304548727</v>
      </c>
      <c r="AA83" s="21">
        <f t="shared" si="10"/>
        <v>1.8379252135709398E-3</v>
      </c>
      <c r="AB83" s="21">
        <f t="shared" si="11"/>
        <v>3.5113532029940032E-4</v>
      </c>
      <c r="AC83" s="21">
        <f t="shared" si="15"/>
        <v>2.1890605338703399E-3</v>
      </c>
      <c r="AD83" s="21" t="s">
        <v>350</v>
      </c>
      <c r="AF83" s="21" t="s">
        <v>364</v>
      </c>
    </row>
    <row r="84" spans="1:33" s="21" customFormat="1" ht="15.75" x14ac:dyDescent="0.2">
      <c r="A84" s="21">
        <v>83</v>
      </c>
      <c r="B84" s="21">
        <v>6</v>
      </c>
      <c r="C84" s="21" t="s">
        <v>347</v>
      </c>
      <c r="D84" s="21" t="s">
        <v>365</v>
      </c>
      <c r="E84" s="21" t="s">
        <v>349</v>
      </c>
      <c r="F84" s="21" t="s">
        <v>333</v>
      </c>
      <c r="G84" s="21" t="s">
        <v>363</v>
      </c>
      <c r="H84" s="21" t="s">
        <v>360</v>
      </c>
      <c r="I84" s="21" t="s">
        <v>357</v>
      </c>
      <c r="J84" s="21">
        <v>6</v>
      </c>
      <c r="K84" s="21" t="s">
        <v>359</v>
      </c>
      <c r="L84" s="21">
        <v>3</v>
      </c>
      <c r="M84" s="21">
        <v>2.8507600000000002</v>
      </c>
      <c r="N84" s="21">
        <v>1.7529999999999824E-2</v>
      </c>
      <c r="O84" s="21">
        <f t="shared" si="12"/>
        <v>3.0362850656682112E-2</v>
      </c>
      <c r="P84" s="21">
        <v>3</v>
      </c>
      <c r="Q84" s="21">
        <v>2.36694</v>
      </c>
      <c r="R84" s="21">
        <v>1.5671599999999994</v>
      </c>
      <c r="S84" s="21">
        <f t="shared" si="13"/>
        <v>2.7144007435896405</v>
      </c>
      <c r="T84" s="21">
        <v>3</v>
      </c>
      <c r="U84" s="21" t="s">
        <v>352</v>
      </c>
      <c r="V84" s="21">
        <v>100</v>
      </c>
      <c r="W84" s="21">
        <f t="shared" si="17"/>
        <v>100</v>
      </c>
      <c r="X84" s="21" t="str">
        <f t="shared" si="14"/>
        <v>High</v>
      </c>
      <c r="Y84" s="21" t="s">
        <v>366</v>
      </c>
      <c r="Z84" s="21">
        <f t="shared" si="16"/>
        <v>0.18598764372988164</v>
      </c>
      <c r="AA84" s="21">
        <f t="shared" si="10"/>
        <v>3.7813120556587769E-5</v>
      </c>
      <c r="AB84" s="21">
        <f t="shared" si="11"/>
        <v>0.43838145966903186</v>
      </c>
      <c r="AC84" s="21">
        <f t="shared" si="15"/>
        <v>0.43841927278958842</v>
      </c>
      <c r="AD84" s="21" t="s">
        <v>350</v>
      </c>
      <c r="AF84" s="21" t="s">
        <v>364</v>
      </c>
    </row>
    <row r="85" spans="1:33" s="21" customFormat="1" ht="15.75" x14ac:dyDescent="0.2">
      <c r="A85" s="21">
        <v>84</v>
      </c>
      <c r="B85" s="21">
        <v>6</v>
      </c>
      <c r="C85" s="21" t="s">
        <v>347</v>
      </c>
      <c r="D85" s="21" t="s">
        <v>365</v>
      </c>
      <c r="E85" s="21" t="s">
        <v>349</v>
      </c>
      <c r="F85" s="21" t="s">
        <v>333</v>
      </c>
      <c r="G85" s="21" t="s">
        <v>363</v>
      </c>
      <c r="H85" s="21" t="s">
        <v>360</v>
      </c>
      <c r="I85" s="21" t="s">
        <v>357</v>
      </c>
      <c r="J85" s="21">
        <v>6</v>
      </c>
      <c r="K85" s="21" t="s">
        <v>359</v>
      </c>
      <c r="L85" s="21">
        <v>3</v>
      </c>
      <c r="M85" s="21">
        <v>1.4764299999999999</v>
      </c>
      <c r="N85" s="21">
        <v>0.38565000000000005</v>
      </c>
      <c r="O85" s="21">
        <f t="shared" si="12"/>
        <v>0.66796539393893761</v>
      </c>
      <c r="P85" s="21">
        <v>3</v>
      </c>
      <c r="Q85" s="21">
        <v>2.36694</v>
      </c>
      <c r="R85" s="21">
        <v>1.5671599999999994</v>
      </c>
      <c r="S85" s="21">
        <f t="shared" si="13"/>
        <v>2.7144007435896405</v>
      </c>
      <c r="T85" s="21">
        <v>3</v>
      </c>
      <c r="U85" s="21" t="s">
        <v>353</v>
      </c>
      <c r="V85" s="21">
        <v>10000</v>
      </c>
      <c r="W85" s="21">
        <f t="shared" si="17"/>
        <v>10000</v>
      </c>
      <c r="X85" s="21" t="str">
        <f t="shared" si="14"/>
        <v>High</v>
      </c>
      <c r="Y85" s="21" t="s">
        <v>366</v>
      </c>
      <c r="Z85" s="21">
        <f t="shared" si="16"/>
        <v>-0.47197097000428495</v>
      </c>
      <c r="AA85" s="21">
        <f t="shared" si="10"/>
        <v>6.822773423005199E-2</v>
      </c>
      <c r="AB85" s="21">
        <f t="shared" si="11"/>
        <v>0.43838145966903186</v>
      </c>
      <c r="AC85" s="21">
        <f t="shared" si="15"/>
        <v>0.50660919389908388</v>
      </c>
      <c r="AD85" s="21" t="s">
        <v>350</v>
      </c>
      <c r="AF85" s="21" t="s">
        <v>364</v>
      </c>
    </row>
    <row r="86" spans="1:33" s="21" customFormat="1" ht="15.75" x14ac:dyDescent="0.2">
      <c r="A86" s="21">
        <v>85</v>
      </c>
      <c r="B86" s="21">
        <v>6</v>
      </c>
      <c r="C86" s="21" t="s">
        <v>347</v>
      </c>
      <c r="D86" s="21" t="s">
        <v>365</v>
      </c>
      <c r="E86" s="21" t="s">
        <v>349</v>
      </c>
      <c r="F86" s="21" t="s">
        <v>333</v>
      </c>
      <c r="G86" s="21" t="s">
        <v>363</v>
      </c>
      <c r="H86" s="21" t="s">
        <v>360</v>
      </c>
      <c r="I86" s="21" t="s">
        <v>357</v>
      </c>
      <c r="J86" s="21">
        <v>6</v>
      </c>
      <c r="K86" s="21" t="s">
        <v>359</v>
      </c>
      <c r="L86" s="21">
        <v>3</v>
      </c>
      <c r="M86" s="21">
        <v>1.5535600000000001</v>
      </c>
      <c r="N86" s="21">
        <v>3.8569999999999993E-2</v>
      </c>
      <c r="O86" s="21">
        <f xml:space="preserve"> N86*SQRT(L86)</f>
        <v>6.6805199647931579E-2</v>
      </c>
      <c r="P86" s="21">
        <v>3</v>
      </c>
      <c r="Q86" s="21">
        <v>2.36694</v>
      </c>
      <c r="R86" s="21">
        <v>1.5671599999999994</v>
      </c>
      <c r="S86" s="21">
        <f t="shared" si="13"/>
        <v>2.7144007435896405</v>
      </c>
      <c r="T86" s="21">
        <v>3</v>
      </c>
      <c r="U86" s="21" t="s">
        <v>354</v>
      </c>
      <c r="V86" s="21">
        <v>100000</v>
      </c>
      <c r="W86" s="21">
        <f t="shared" si="17"/>
        <v>100000</v>
      </c>
      <c r="X86" s="21" t="str">
        <f t="shared" si="14"/>
        <v>High</v>
      </c>
      <c r="Y86" s="21" t="s">
        <v>366</v>
      </c>
      <c r="Z86" s="21">
        <f t="shared" si="16"/>
        <v>-0.42104891009757073</v>
      </c>
      <c r="AA86" s="21">
        <f t="shared" si="10"/>
        <v>6.1637244621259618E-4</v>
      </c>
      <c r="AB86" s="21">
        <f t="shared" si="11"/>
        <v>0.43838145966903186</v>
      </c>
      <c r="AC86" s="21">
        <f t="shared" si="15"/>
        <v>0.43899783211524446</v>
      </c>
      <c r="AD86" s="21" t="s">
        <v>350</v>
      </c>
      <c r="AF86" s="21" t="s">
        <v>364</v>
      </c>
    </row>
    <row r="87" spans="1:33" s="21" customFormat="1" ht="15.75" x14ac:dyDescent="0.2">
      <c r="A87" s="21">
        <v>86</v>
      </c>
      <c r="B87" s="21">
        <v>6</v>
      </c>
      <c r="C87" s="21" t="s">
        <v>347</v>
      </c>
      <c r="D87" s="21" t="s">
        <v>365</v>
      </c>
      <c r="E87" s="21" t="s">
        <v>349</v>
      </c>
      <c r="F87" s="21" t="s">
        <v>333</v>
      </c>
      <c r="G87" s="21" t="s">
        <v>73</v>
      </c>
      <c r="H87" s="21" t="s">
        <v>360</v>
      </c>
      <c r="I87" s="21" t="s">
        <v>357</v>
      </c>
      <c r="J87" s="21">
        <v>6</v>
      </c>
      <c r="K87" s="21" t="s">
        <v>359</v>
      </c>
      <c r="L87" s="21">
        <v>3</v>
      </c>
      <c r="M87" s="21">
        <v>0.61480999999999997</v>
      </c>
      <c r="N87" s="21">
        <v>0.16666999999999998</v>
      </c>
      <c r="O87" s="21">
        <f t="shared" ref="O87:O130" si="18" xml:space="preserve"> N87*SQRT(L87)</f>
        <v>0.28868090809750474</v>
      </c>
      <c r="P87" s="21">
        <v>3</v>
      </c>
      <c r="Q87" s="21">
        <v>0.64549000000000001</v>
      </c>
      <c r="R87" s="21">
        <v>0.18917000000000006</v>
      </c>
      <c r="S87" s="21">
        <f t="shared" si="13"/>
        <v>0.32765205126780461</v>
      </c>
      <c r="T87" s="21">
        <v>3</v>
      </c>
      <c r="U87" s="21" t="s">
        <v>352</v>
      </c>
      <c r="V87" s="21">
        <v>100</v>
      </c>
      <c r="W87" s="21">
        <f t="shared" si="17"/>
        <v>100</v>
      </c>
      <c r="X87" s="21" t="str">
        <f t="shared" si="14"/>
        <v>High</v>
      </c>
      <c r="Y87" s="21" t="s">
        <v>366</v>
      </c>
      <c r="Z87" s="21">
        <f t="shared" si="16"/>
        <v>-4.8696441315587799E-2</v>
      </c>
      <c r="AA87" s="21">
        <f t="shared" si="10"/>
        <v>7.3490808510623951E-2</v>
      </c>
      <c r="AB87" s="21">
        <f t="shared" si="11"/>
        <v>8.5886615825395904E-2</v>
      </c>
      <c r="AC87" s="21">
        <f t="shared" si="15"/>
        <v>0.15937742433601987</v>
      </c>
      <c r="AD87" s="21" t="s">
        <v>350</v>
      </c>
      <c r="AF87" s="21" t="s">
        <v>368</v>
      </c>
    </row>
    <row r="88" spans="1:33" s="21" customFormat="1" ht="15.75" x14ac:dyDescent="0.2">
      <c r="A88" s="21">
        <v>87</v>
      </c>
      <c r="B88" s="21">
        <v>6</v>
      </c>
      <c r="C88" s="21" t="s">
        <v>347</v>
      </c>
      <c r="D88" s="21" t="s">
        <v>365</v>
      </c>
      <c r="E88" s="21" t="s">
        <v>349</v>
      </c>
      <c r="F88" s="21" t="s">
        <v>333</v>
      </c>
      <c r="G88" s="21" t="s">
        <v>73</v>
      </c>
      <c r="H88" s="21" t="s">
        <v>360</v>
      </c>
      <c r="I88" s="21" t="s">
        <v>357</v>
      </c>
      <c r="J88" s="21">
        <v>6</v>
      </c>
      <c r="K88" s="21" t="s">
        <v>359</v>
      </c>
      <c r="L88" s="21">
        <v>3</v>
      </c>
      <c r="M88" s="21">
        <v>0.7278</v>
      </c>
      <c r="N88" s="21">
        <v>3.3750000000000058E-2</v>
      </c>
      <c r="O88" s="21">
        <f t="shared" si="18"/>
        <v>5.8456714755449703E-2</v>
      </c>
      <c r="P88" s="21">
        <v>3</v>
      </c>
      <c r="Q88" s="21">
        <v>0.64549000000000001</v>
      </c>
      <c r="R88" s="21">
        <v>0.18917000000000006</v>
      </c>
      <c r="S88" s="21">
        <f t="shared" si="13"/>
        <v>0.32765205126780461</v>
      </c>
      <c r="T88" s="21">
        <v>3</v>
      </c>
      <c r="U88" s="21" t="s">
        <v>353</v>
      </c>
      <c r="V88" s="21">
        <v>10000</v>
      </c>
      <c r="W88" s="21">
        <f t="shared" si="17"/>
        <v>10000</v>
      </c>
      <c r="X88" s="21" t="str">
        <f t="shared" si="14"/>
        <v>High</v>
      </c>
      <c r="Y88" s="21" t="s">
        <v>366</v>
      </c>
      <c r="Z88" s="21">
        <f t="shared" si="16"/>
        <v>0.12001656687813246</v>
      </c>
      <c r="AA88" s="21">
        <f t="shared" si="10"/>
        <v>2.1504207985896195E-3</v>
      </c>
      <c r="AB88" s="21">
        <f t="shared" si="11"/>
        <v>8.5886615825395904E-2</v>
      </c>
      <c r="AC88" s="21">
        <f t="shared" si="15"/>
        <v>8.8037036623985529E-2</v>
      </c>
      <c r="AD88" s="21" t="s">
        <v>350</v>
      </c>
      <c r="AF88" s="21" t="s">
        <v>368</v>
      </c>
    </row>
    <row r="89" spans="1:33" s="21" customFormat="1" ht="15.75" x14ac:dyDescent="0.2">
      <c r="A89" s="21">
        <v>88</v>
      </c>
      <c r="B89" s="21">
        <v>6</v>
      </c>
      <c r="C89" s="21" t="s">
        <v>347</v>
      </c>
      <c r="D89" s="21" t="s">
        <v>365</v>
      </c>
      <c r="E89" s="21" t="s">
        <v>349</v>
      </c>
      <c r="F89" s="21" t="s">
        <v>333</v>
      </c>
      <c r="G89" s="21" t="s">
        <v>73</v>
      </c>
      <c r="H89" s="21" t="s">
        <v>360</v>
      </c>
      <c r="I89" s="21" t="s">
        <v>357</v>
      </c>
      <c r="J89" s="21">
        <v>6</v>
      </c>
      <c r="K89" s="21" t="s">
        <v>359</v>
      </c>
      <c r="L89" s="21">
        <v>3</v>
      </c>
      <c r="M89" s="21">
        <v>0.63168000000000002</v>
      </c>
      <c r="N89" s="21">
        <v>2.3010000000000086E-2</v>
      </c>
      <c r="O89" s="21">
        <f t="shared" si="18"/>
        <v>3.9854489082160015E-2</v>
      </c>
      <c r="P89" s="21">
        <v>3</v>
      </c>
      <c r="Q89" s="21">
        <v>0.64549000000000001</v>
      </c>
      <c r="R89" s="21">
        <v>0.18917000000000006</v>
      </c>
      <c r="S89" s="21">
        <f t="shared" si="13"/>
        <v>0.32765205126780461</v>
      </c>
      <c r="T89" s="21">
        <v>3</v>
      </c>
      <c r="U89" s="21" t="s">
        <v>354</v>
      </c>
      <c r="V89" s="21">
        <v>100000</v>
      </c>
      <c r="W89" s="21">
        <f t="shared" si="17"/>
        <v>100000</v>
      </c>
      <c r="X89" s="21" t="str">
        <f t="shared" si="14"/>
        <v>High</v>
      </c>
      <c r="Y89" s="21" t="s">
        <v>366</v>
      </c>
      <c r="Z89" s="21">
        <f t="shared" si="16"/>
        <v>-2.1626781494864945E-2</v>
      </c>
      <c r="AA89" s="21">
        <f t="shared" si="10"/>
        <v>1.3269024135089849E-3</v>
      </c>
      <c r="AB89" s="21">
        <f t="shared" si="11"/>
        <v>8.5886615825395904E-2</v>
      </c>
      <c r="AC89" s="21">
        <f t="shared" si="15"/>
        <v>8.7213518238904886E-2</v>
      </c>
      <c r="AD89" s="21" t="s">
        <v>350</v>
      </c>
      <c r="AF89" s="21" t="s">
        <v>368</v>
      </c>
    </row>
    <row r="90" spans="1:33" s="21" customFormat="1" ht="15.75" x14ac:dyDescent="0.2">
      <c r="A90" s="21">
        <v>89</v>
      </c>
      <c r="B90" s="21">
        <v>6</v>
      </c>
      <c r="C90" s="21" t="s">
        <v>347</v>
      </c>
      <c r="D90" s="21" t="s">
        <v>365</v>
      </c>
      <c r="E90" s="21" t="s">
        <v>349</v>
      </c>
      <c r="F90" s="21" t="s">
        <v>333</v>
      </c>
      <c r="G90" s="21" t="s">
        <v>363</v>
      </c>
      <c r="H90" s="21" t="s">
        <v>360</v>
      </c>
      <c r="I90" s="21" t="s">
        <v>357</v>
      </c>
      <c r="J90" s="21">
        <v>6</v>
      </c>
      <c r="K90" s="21" t="s">
        <v>359</v>
      </c>
      <c r="L90" s="21">
        <v>3</v>
      </c>
      <c r="M90" s="21">
        <v>0.62861</v>
      </c>
      <c r="N90" s="21">
        <v>0.24592000000000003</v>
      </c>
      <c r="O90" s="21">
        <f t="shared" si="18"/>
        <v>0.42594593459733832</v>
      </c>
      <c r="P90" s="21">
        <v>3</v>
      </c>
      <c r="Q90" s="21">
        <v>0.70786000000000004</v>
      </c>
      <c r="R90" s="21">
        <v>4.4990000000000085E-2</v>
      </c>
      <c r="S90" s="21">
        <f t="shared" si="13"/>
        <v>7.7924965832523937E-2</v>
      </c>
      <c r="T90" s="21">
        <v>3</v>
      </c>
      <c r="U90" s="21" t="s">
        <v>352</v>
      </c>
      <c r="V90" s="21">
        <v>100</v>
      </c>
      <c r="W90" s="21">
        <f t="shared" si="17"/>
        <v>100</v>
      </c>
      <c r="X90" s="21" t="str">
        <f t="shared" si="14"/>
        <v>High</v>
      </c>
      <c r="Y90" s="21" t="s">
        <v>366</v>
      </c>
      <c r="Z90" s="21">
        <f t="shared" si="16"/>
        <v>-0.11873530142283975</v>
      </c>
      <c r="AA90" s="21">
        <f t="shared" si="10"/>
        <v>0.15304710860086931</v>
      </c>
      <c r="AB90" s="21">
        <f t="shared" si="11"/>
        <v>4.0395895756757593E-3</v>
      </c>
      <c r="AC90" s="21">
        <f t="shared" si="15"/>
        <v>0.15708669817654508</v>
      </c>
      <c r="AD90" s="21" t="s">
        <v>350</v>
      </c>
      <c r="AF90" s="21" t="s">
        <v>368</v>
      </c>
    </row>
    <row r="91" spans="1:33" s="21" customFormat="1" ht="15.75" x14ac:dyDescent="0.2">
      <c r="A91" s="21">
        <v>90</v>
      </c>
      <c r="B91" s="21">
        <v>6</v>
      </c>
      <c r="C91" s="21" t="s">
        <v>347</v>
      </c>
      <c r="D91" s="21" t="s">
        <v>365</v>
      </c>
      <c r="E91" s="21" t="s">
        <v>349</v>
      </c>
      <c r="F91" s="21" t="s">
        <v>333</v>
      </c>
      <c r="G91" s="21" t="s">
        <v>363</v>
      </c>
      <c r="H91" s="21" t="s">
        <v>360</v>
      </c>
      <c r="I91" s="21" t="s">
        <v>357</v>
      </c>
      <c r="J91" s="21">
        <v>6</v>
      </c>
      <c r="K91" s="21" t="s">
        <v>359</v>
      </c>
      <c r="L91" s="21">
        <v>3</v>
      </c>
      <c r="M91" s="21">
        <v>0.40570000000000001</v>
      </c>
      <c r="N91" s="21">
        <v>0.13037000000000004</v>
      </c>
      <c r="O91" s="21">
        <f t="shared" si="18"/>
        <v>0.2258074637827546</v>
      </c>
      <c r="P91" s="21">
        <v>3</v>
      </c>
      <c r="Q91" s="21">
        <v>0.70786000000000004</v>
      </c>
      <c r="R91" s="21">
        <v>4.4990000000000085E-2</v>
      </c>
      <c r="S91" s="21">
        <f t="shared" si="13"/>
        <v>7.7924965832523937E-2</v>
      </c>
      <c r="T91" s="21">
        <v>3</v>
      </c>
      <c r="U91" s="21" t="s">
        <v>353</v>
      </c>
      <c r="V91" s="21">
        <v>10000</v>
      </c>
      <c r="W91" s="21">
        <f t="shared" si="17"/>
        <v>10000</v>
      </c>
      <c r="X91" s="21" t="str">
        <f t="shared" si="14"/>
        <v>High</v>
      </c>
      <c r="Y91" s="21" t="s">
        <v>366</v>
      </c>
      <c r="Z91" s="21">
        <f t="shared" si="16"/>
        <v>-0.55663236381517012</v>
      </c>
      <c r="AA91" s="21">
        <f t="shared" si="10"/>
        <v>0.10326313733998439</v>
      </c>
      <c r="AB91" s="21">
        <f t="shared" si="11"/>
        <v>4.0395895756757593E-3</v>
      </c>
      <c r="AC91" s="21">
        <f t="shared" si="15"/>
        <v>0.10730272691566015</v>
      </c>
      <c r="AD91" s="21" t="s">
        <v>350</v>
      </c>
      <c r="AF91" s="21" t="s">
        <v>368</v>
      </c>
    </row>
    <row r="92" spans="1:33" s="21" customFormat="1" ht="15.75" x14ac:dyDescent="0.2">
      <c r="A92" s="21">
        <v>91</v>
      </c>
      <c r="B92" s="21">
        <v>6</v>
      </c>
      <c r="C92" s="21" t="s">
        <v>347</v>
      </c>
      <c r="D92" s="21" t="s">
        <v>365</v>
      </c>
      <c r="E92" s="21" t="s">
        <v>349</v>
      </c>
      <c r="F92" s="21" t="s">
        <v>333</v>
      </c>
      <c r="G92" s="21" t="s">
        <v>363</v>
      </c>
      <c r="H92" s="21" t="s">
        <v>360</v>
      </c>
      <c r="I92" s="21" t="s">
        <v>357</v>
      </c>
      <c r="J92" s="21">
        <v>6</v>
      </c>
      <c r="K92" s="21" t="s">
        <v>359</v>
      </c>
      <c r="L92" s="21">
        <v>3</v>
      </c>
      <c r="M92" s="21">
        <v>0.43381999999999998</v>
      </c>
      <c r="N92" s="21">
        <v>6.4930000000000043E-2</v>
      </c>
      <c r="O92" s="21">
        <f t="shared" si="18"/>
        <v>0.11246205893544726</v>
      </c>
      <c r="P92" s="21">
        <v>3</v>
      </c>
      <c r="Q92" s="21">
        <v>0.70786000000000004</v>
      </c>
      <c r="R92" s="21">
        <v>4.4990000000000085E-2</v>
      </c>
      <c r="S92" s="21">
        <f t="shared" si="13"/>
        <v>7.7924965832523937E-2</v>
      </c>
      <c r="T92" s="21">
        <v>3</v>
      </c>
      <c r="U92" s="21" t="s">
        <v>354</v>
      </c>
      <c r="V92" s="21">
        <v>100000</v>
      </c>
      <c r="W92" s="21">
        <f t="shared" si="17"/>
        <v>100000</v>
      </c>
      <c r="X92" s="21" t="str">
        <f t="shared" si="14"/>
        <v>High</v>
      </c>
      <c r="Y92" s="21" t="s">
        <v>366</v>
      </c>
      <c r="Z92" s="21">
        <f t="shared" si="16"/>
        <v>-0.48961663250208165</v>
      </c>
      <c r="AA92" s="21">
        <f t="shared" si="10"/>
        <v>2.2401219715691912E-2</v>
      </c>
      <c r="AB92" s="21">
        <f t="shared" si="11"/>
        <v>4.0395895756757593E-3</v>
      </c>
      <c r="AC92" s="21">
        <f t="shared" si="15"/>
        <v>2.6440809291367672E-2</v>
      </c>
      <c r="AD92" s="21" t="s">
        <v>350</v>
      </c>
      <c r="AF92" s="21" t="s">
        <v>368</v>
      </c>
    </row>
    <row r="93" spans="1:33" s="21" customFormat="1" ht="15.75" x14ac:dyDescent="0.2">
      <c r="A93" s="21">
        <v>92</v>
      </c>
      <c r="B93" s="21">
        <v>6</v>
      </c>
      <c r="C93" s="21" t="s">
        <v>347</v>
      </c>
      <c r="D93" s="21" t="s">
        <v>367</v>
      </c>
      <c r="E93" s="21" t="s">
        <v>349</v>
      </c>
      <c r="F93" s="21" t="s">
        <v>333</v>
      </c>
      <c r="G93" s="21" t="s">
        <v>73</v>
      </c>
      <c r="H93" s="21" t="s">
        <v>360</v>
      </c>
      <c r="I93" s="21" t="s">
        <v>357</v>
      </c>
      <c r="J93" s="21">
        <v>6</v>
      </c>
      <c r="K93" s="21" t="s">
        <v>359</v>
      </c>
      <c r="L93" s="21">
        <v>3</v>
      </c>
      <c r="M93" s="21">
        <v>0.85648999999999997</v>
      </c>
      <c r="N93" s="21">
        <v>0.23045000000000004</v>
      </c>
      <c r="O93" s="21">
        <f t="shared" si="18"/>
        <v>0.39915110860424785</v>
      </c>
      <c r="P93" s="21">
        <v>3</v>
      </c>
      <c r="Q93" s="21">
        <v>1.45634</v>
      </c>
      <c r="R93" s="21">
        <v>0.18074000000000012</v>
      </c>
      <c r="S93" s="21">
        <f t="shared" si="13"/>
        <v>0.31305086295999907</v>
      </c>
      <c r="T93" s="21">
        <v>3</v>
      </c>
      <c r="U93" s="21" t="s">
        <v>352</v>
      </c>
      <c r="V93" s="21">
        <v>100</v>
      </c>
      <c r="W93" s="21">
        <f t="shared" si="17"/>
        <v>100</v>
      </c>
      <c r="X93" s="21" t="str">
        <f t="shared" si="14"/>
        <v>High</v>
      </c>
      <c r="Y93" s="21" t="s">
        <v>366</v>
      </c>
      <c r="Z93" s="21">
        <f t="shared" si="16"/>
        <v>-0.53083907570663535</v>
      </c>
      <c r="AA93" s="21">
        <f t="shared" si="10"/>
        <v>7.2395043186252728E-2</v>
      </c>
      <c r="AB93" s="21">
        <f t="shared" si="11"/>
        <v>1.5402208557643238E-2</v>
      </c>
      <c r="AC93" s="21">
        <f t="shared" si="15"/>
        <v>8.7797251743895965E-2</v>
      </c>
      <c r="AD93" s="21" t="s">
        <v>350</v>
      </c>
      <c r="AF93" s="21" t="s">
        <v>364</v>
      </c>
    </row>
    <row r="94" spans="1:33" s="21" customFormat="1" ht="15.75" x14ac:dyDescent="0.2">
      <c r="A94" s="21">
        <v>93</v>
      </c>
      <c r="B94" s="21">
        <v>6</v>
      </c>
      <c r="C94" s="21" t="s">
        <v>347</v>
      </c>
      <c r="D94" s="21" t="s">
        <v>367</v>
      </c>
      <c r="E94" s="21" t="s">
        <v>349</v>
      </c>
      <c r="F94" s="21" t="s">
        <v>333</v>
      </c>
      <c r="G94" s="21" t="s">
        <v>73</v>
      </c>
      <c r="H94" s="21" t="s">
        <v>360</v>
      </c>
      <c r="I94" s="21" t="s">
        <v>357</v>
      </c>
      <c r="J94" s="21">
        <v>6</v>
      </c>
      <c r="K94" s="21" t="s">
        <v>359</v>
      </c>
      <c r="L94" s="21">
        <v>3</v>
      </c>
      <c r="M94" s="21">
        <v>1.8178300000000001</v>
      </c>
      <c r="N94" s="21">
        <v>3.727999999999998E-2</v>
      </c>
      <c r="O94" s="21">
        <f t="shared" si="18"/>
        <v>6.457085410616771E-2</v>
      </c>
      <c r="P94" s="21">
        <v>3</v>
      </c>
      <c r="Q94" s="21">
        <v>1.45634</v>
      </c>
      <c r="R94" s="21">
        <v>0.18074000000000012</v>
      </c>
      <c r="S94" s="21">
        <f t="shared" si="13"/>
        <v>0.31305086295999907</v>
      </c>
      <c r="T94" s="21">
        <v>3</v>
      </c>
      <c r="U94" s="21" t="s">
        <v>353</v>
      </c>
      <c r="V94" s="21">
        <v>10000</v>
      </c>
      <c r="W94" s="21">
        <f t="shared" si="17"/>
        <v>10000</v>
      </c>
      <c r="X94" s="21" t="str">
        <f t="shared" si="14"/>
        <v>High</v>
      </c>
      <c r="Y94" s="21" t="s">
        <v>366</v>
      </c>
      <c r="Z94" s="21">
        <f t="shared" si="16"/>
        <v>0.22171704303479969</v>
      </c>
      <c r="AA94" s="21">
        <f t="shared" si="10"/>
        <v>4.2057676346011824E-4</v>
      </c>
      <c r="AB94" s="21">
        <f t="shared" si="11"/>
        <v>1.5402208557643238E-2</v>
      </c>
      <c r="AC94" s="21">
        <f t="shared" si="15"/>
        <v>1.5822785321103355E-2</v>
      </c>
      <c r="AD94" s="21" t="s">
        <v>350</v>
      </c>
      <c r="AF94" s="21" t="s">
        <v>364</v>
      </c>
    </row>
    <row r="95" spans="1:33" s="21" customFormat="1" ht="15.75" x14ac:dyDescent="0.2">
      <c r="A95" s="21">
        <v>94</v>
      </c>
      <c r="B95" s="21">
        <v>6</v>
      </c>
      <c r="C95" s="21" t="s">
        <v>347</v>
      </c>
      <c r="D95" s="21" t="s">
        <v>367</v>
      </c>
      <c r="E95" s="21" t="s">
        <v>349</v>
      </c>
      <c r="F95" s="21" t="s">
        <v>333</v>
      </c>
      <c r="G95" s="21" t="s">
        <v>73</v>
      </c>
      <c r="H95" s="21" t="s">
        <v>360</v>
      </c>
      <c r="I95" s="21" t="s">
        <v>357</v>
      </c>
      <c r="J95" s="21">
        <v>6</v>
      </c>
      <c r="K95" s="21" t="s">
        <v>359</v>
      </c>
      <c r="L95" s="21">
        <v>3</v>
      </c>
      <c r="M95" s="21">
        <v>1.72407</v>
      </c>
      <c r="N95" s="21">
        <v>8.0200000000000049E-2</v>
      </c>
      <c r="O95" s="21">
        <f t="shared" si="18"/>
        <v>0.13891047476702403</v>
      </c>
      <c r="P95" s="21">
        <v>3</v>
      </c>
      <c r="Q95" s="21">
        <v>1.45634</v>
      </c>
      <c r="R95" s="21">
        <v>0.18074000000000012</v>
      </c>
      <c r="S95" s="21">
        <f t="shared" si="13"/>
        <v>0.31305086295999907</v>
      </c>
      <c r="T95" s="21">
        <v>3</v>
      </c>
      <c r="U95" s="21" t="s">
        <v>354</v>
      </c>
      <c r="V95" s="21">
        <v>100000</v>
      </c>
      <c r="W95" s="21">
        <f t="shared" si="17"/>
        <v>100000</v>
      </c>
      <c r="X95" s="21" t="str">
        <f t="shared" si="14"/>
        <v>High</v>
      </c>
      <c r="Y95" s="21" t="s">
        <v>366</v>
      </c>
      <c r="Z95" s="21">
        <f t="shared" si="16"/>
        <v>0.16876133566819118</v>
      </c>
      <c r="AA95" s="21">
        <f t="shared" si="10"/>
        <v>2.1639087686518067E-3</v>
      </c>
      <c r="AB95" s="21">
        <f t="shared" si="11"/>
        <v>1.5402208557643238E-2</v>
      </c>
      <c r="AC95" s="21">
        <f t="shared" si="15"/>
        <v>1.7566117326295046E-2</v>
      </c>
      <c r="AD95" s="21" t="s">
        <v>350</v>
      </c>
      <c r="AF95" s="21" t="s">
        <v>364</v>
      </c>
    </row>
    <row r="96" spans="1:33" s="21" customFormat="1" ht="15.75" x14ac:dyDescent="0.2">
      <c r="A96" s="21">
        <v>95</v>
      </c>
      <c r="B96" s="21">
        <v>6</v>
      </c>
      <c r="C96" s="21" t="s">
        <v>347</v>
      </c>
      <c r="D96" s="21" t="s">
        <v>367</v>
      </c>
      <c r="E96" s="21" t="s">
        <v>349</v>
      </c>
      <c r="F96" s="21" t="s">
        <v>333</v>
      </c>
      <c r="G96" s="21" t="s">
        <v>363</v>
      </c>
      <c r="H96" s="21" t="s">
        <v>360</v>
      </c>
      <c r="I96" s="21" t="s">
        <v>357</v>
      </c>
      <c r="J96" s="21">
        <v>6</v>
      </c>
      <c r="K96" s="21" t="s">
        <v>359</v>
      </c>
      <c r="L96" s="21">
        <v>3</v>
      </c>
      <c r="M96" s="21">
        <v>2.3558500000000002</v>
      </c>
      <c r="N96" s="21">
        <v>7.7679999999999971E-2</v>
      </c>
      <c r="O96" s="21">
        <f t="shared" si="18"/>
        <v>0.13454570673195032</v>
      </c>
      <c r="P96" s="21">
        <v>3</v>
      </c>
      <c r="Q96" s="21">
        <v>4.34788</v>
      </c>
      <c r="R96" s="21">
        <v>7.7679999999999971E-2</v>
      </c>
      <c r="S96" s="21">
        <f t="shared" si="13"/>
        <v>0.13454570673195032</v>
      </c>
      <c r="T96" s="21">
        <v>3</v>
      </c>
      <c r="U96" s="21" t="s">
        <v>352</v>
      </c>
      <c r="V96" s="21">
        <v>100</v>
      </c>
      <c r="W96" s="21">
        <f t="shared" si="17"/>
        <v>100</v>
      </c>
      <c r="X96" s="21" t="str">
        <f t="shared" si="14"/>
        <v>High</v>
      </c>
      <c r="Y96" s="21" t="s">
        <v>366</v>
      </c>
      <c r="Z96" s="21">
        <f t="shared" si="16"/>
        <v>-0.61278677345216381</v>
      </c>
      <c r="AA96" s="21">
        <f t="shared" si="10"/>
        <v>1.0872343474404098E-3</v>
      </c>
      <c r="AB96" s="21">
        <f t="shared" si="11"/>
        <v>3.1920033274266741E-4</v>
      </c>
      <c r="AC96" s="21">
        <f t="shared" si="15"/>
        <v>1.4064346801830772E-3</v>
      </c>
      <c r="AD96" s="21" t="s">
        <v>350</v>
      </c>
      <c r="AF96" s="21" t="s">
        <v>364</v>
      </c>
    </row>
    <row r="97" spans="1:33" s="21" customFormat="1" ht="15.75" x14ac:dyDescent="0.2">
      <c r="A97" s="21">
        <v>96</v>
      </c>
      <c r="B97" s="21">
        <v>6</v>
      </c>
      <c r="C97" s="21" t="s">
        <v>347</v>
      </c>
      <c r="D97" s="21" t="s">
        <v>367</v>
      </c>
      <c r="E97" s="21" t="s">
        <v>349</v>
      </c>
      <c r="F97" s="21" t="s">
        <v>333</v>
      </c>
      <c r="G97" s="21" t="s">
        <v>363</v>
      </c>
      <c r="H97" s="21" t="s">
        <v>360</v>
      </c>
      <c r="I97" s="21" t="s">
        <v>357</v>
      </c>
      <c r="J97" s="21">
        <v>6</v>
      </c>
      <c r="K97" s="21" t="s">
        <v>359</v>
      </c>
      <c r="L97" s="21">
        <v>3</v>
      </c>
      <c r="M97" s="21">
        <v>2.56948</v>
      </c>
      <c r="N97" s="21">
        <v>1.4399299999999995</v>
      </c>
      <c r="O97" s="21">
        <f t="shared" si="18"/>
        <v>2.4940319193426523</v>
      </c>
      <c r="P97" s="21">
        <v>3</v>
      </c>
      <c r="Q97" s="21">
        <v>4.34788</v>
      </c>
      <c r="R97" s="21">
        <v>7.7679999999999971E-2</v>
      </c>
      <c r="S97" s="21">
        <f t="shared" si="13"/>
        <v>0.13454570673195032</v>
      </c>
      <c r="T97" s="21">
        <v>3</v>
      </c>
      <c r="U97" s="21" t="s">
        <v>353</v>
      </c>
      <c r="V97" s="21">
        <v>10000</v>
      </c>
      <c r="W97" s="21">
        <f t="shared" si="17"/>
        <v>10000</v>
      </c>
      <c r="X97" s="21" t="str">
        <f t="shared" si="14"/>
        <v>High</v>
      </c>
      <c r="Y97" s="21" t="s">
        <v>366</v>
      </c>
      <c r="Z97" s="21">
        <f t="shared" si="16"/>
        <v>-0.52598482617769693</v>
      </c>
      <c r="AA97" s="21">
        <f t="shared" si="10"/>
        <v>0.31404528459459152</v>
      </c>
      <c r="AB97" s="21">
        <f t="shared" si="11"/>
        <v>3.1920033274266741E-4</v>
      </c>
      <c r="AC97" s="21">
        <f t="shared" si="15"/>
        <v>0.31436448492733421</v>
      </c>
      <c r="AD97" s="21" t="s">
        <v>350</v>
      </c>
      <c r="AF97" s="21" t="s">
        <v>364</v>
      </c>
    </row>
    <row r="98" spans="1:33" s="21" customFormat="1" ht="15.75" x14ac:dyDescent="0.2">
      <c r="A98" s="21">
        <v>97</v>
      </c>
      <c r="B98" s="21">
        <v>6</v>
      </c>
      <c r="C98" s="21" t="s">
        <v>347</v>
      </c>
      <c r="D98" s="21" t="s">
        <v>367</v>
      </c>
      <c r="E98" s="21" t="s">
        <v>349</v>
      </c>
      <c r="F98" s="21" t="s">
        <v>333</v>
      </c>
      <c r="G98" s="21" t="s">
        <v>363</v>
      </c>
      <c r="H98" s="21" t="s">
        <v>360</v>
      </c>
      <c r="I98" s="21" t="s">
        <v>357</v>
      </c>
      <c r="J98" s="21">
        <v>6</v>
      </c>
      <c r="K98" s="21" t="s">
        <v>359</v>
      </c>
      <c r="L98" s="21">
        <v>3</v>
      </c>
      <c r="M98" s="21">
        <v>3.0300400000000001</v>
      </c>
      <c r="N98" s="21">
        <v>0.23026999999999997</v>
      </c>
      <c r="O98" s="21">
        <f t="shared" si="18"/>
        <v>0.39883933945888533</v>
      </c>
      <c r="P98" s="21">
        <v>3</v>
      </c>
      <c r="Q98" s="21">
        <v>4.34788</v>
      </c>
      <c r="R98" s="21">
        <v>7.7679999999999971E-2</v>
      </c>
      <c r="S98" s="21">
        <f t="shared" si="13"/>
        <v>0.13454570673195032</v>
      </c>
      <c r="T98" s="21">
        <v>3</v>
      </c>
      <c r="U98" s="21" t="s">
        <v>354</v>
      </c>
      <c r="V98" s="21">
        <v>100000</v>
      </c>
      <c r="W98" s="21">
        <f t="shared" si="17"/>
        <v>100000</v>
      </c>
      <c r="X98" s="21" t="str">
        <f t="shared" si="14"/>
        <v>High</v>
      </c>
      <c r="Y98" s="21" t="s">
        <v>366</v>
      </c>
      <c r="Z98" s="21">
        <f t="shared" si="16"/>
        <v>-0.36111254922778924</v>
      </c>
      <c r="AA98" s="21">
        <f t="shared" si="10"/>
        <v>5.7753458753411159E-3</v>
      </c>
      <c r="AB98" s="21">
        <f t="shared" si="11"/>
        <v>3.1920033274266741E-4</v>
      </c>
      <c r="AC98" s="21">
        <f t="shared" si="15"/>
        <v>6.094546208083783E-3</v>
      </c>
      <c r="AD98" s="21" t="s">
        <v>350</v>
      </c>
      <c r="AF98" s="21" t="s">
        <v>364</v>
      </c>
    </row>
    <row r="99" spans="1:33" s="21" customFormat="1" ht="15.75" x14ac:dyDescent="0.2">
      <c r="A99" s="21">
        <v>98</v>
      </c>
      <c r="B99" s="21">
        <v>6</v>
      </c>
      <c r="C99" s="21" t="s">
        <v>347</v>
      </c>
      <c r="D99" s="21" t="s">
        <v>367</v>
      </c>
      <c r="E99" s="21" t="s">
        <v>349</v>
      </c>
      <c r="F99" s="21" t="s">
        <v>333</v>
      </c>
      <c r="G99" s="21" t="s">
        <v>73</v>
      </c>
      <c r="H99" s="21" t="s">
        <v>360</v>
      </c>
      <c r="I99" s="21" t="s">
        <v>357</v>
      </c>
      <c r="J99" s="21">
        <v>6</v>
      </c>
      <c r="K99" s="21" t="s">
        <v>359</v>
      </c>
      <c r="L99" s="21">
        <v>3</v>
      </c>
      <c r="M99" s="21">
        <v>51.299570000000003</v>
      </c>
      <c r="N99" s="21">
        <v>11.710269999999994</v>
      </c>
      <c r="O99" s="21">
        <f t="shared" si="18"/>
        <v>20.282782610349585</v>
      </c>
      <c r="P99" s="21">
        <v>3</v>
      </c>
      <c r="Q99" s="21">
        <v>87.936000000000007</v>
      </c>
      <c r="R99" s="21">
        <v>3.6803699999999964</v>
      </c>
      <c r="S99" s="21">
        <f t="shared" si="13"/>
        <v>6.3745878306522625</v>
      </c>
      <c r="T99" s="21">
        <v>3</v>
      </c>
      <c r="U99" s="21" t="s">
        <v>352</v>
      </c>
      <c r="V99" s="21">
        <v>100</v>
      </c>
      <c r="W99" s="21">
        <f t="shared" si="17"/>
        <v>100</v>
      </c>
      <c r="X99" s="21" t="str">
        <f t="shared" si="14"/>
        <v>High</v>
      </c>
      <c r="Y99" s="21" t="s">
        <v>366</v>
      </c>
      <c r="Z99" s="21">
        <f t="shared" si="16"/>
        <v>-0.53892690708451219</v>
      </c>
      <c r="AA99" s="21">
        <f t="shared" si="10"/>
        <v>5.2108235534732567E-2</v>
      </c>
      <c r="AB99" s="21">
        <f t="shared" si="11"/>
        <v>1.7516589422042783E-3</v>
      </c>
      <c r="AC99" s="21">
        <f t="shared" si="15"/>
        <v>5.3859894476936843E-2</v>
      </c>
      <c r="AD99" s="21" t="s">
        <v>350</v>
      </c>
      <c r="AF99" s="21" t="s">
        <v>368</v>
      </c>
    </row>
    <row r="100" spans="1:33" s="21" customFormat="1" ht="15.75" x14ac:dyDescent="0.2">
      <c r="A100" s="21">
        <v>99</v>
      </c>
      <c r="B100" s="21">
        <v>6</v>
      </c>
      <c r="C100" s="21" t="s">
        <v>347</v>
      </c>
      <c r="D100" s="21" t="s">
        <v>367</v>
      </c>
      <c r="E100" s="21" t="s">
        <v>349</v>
      </c>
      <c r="F100" s="21" t="s">
        <v>333</v>
      </c>
      <c r="G100" s="21" t="s">
        <v>73</v>
      </c>
      <c r="H100" s="21" t="s">
        <v>360</v>
      </c>
      <c r="I100" s="21" t="s">
        <v>357</v>
      </c>
      <c r="J100" s="21">
        <v>6</v>
      </c>
      <c r="K100" s="21" t="s">
        <v>359</v>
      </c>
      <c r="L100" s="21">
        <v>3</v>
      </c>
      <c r="M100" s="21">
        <v>94.739109999999997</v>
      </c>
      <c r="N100" s="21">
        <v>1.2267900000000083</v>
      </c>
      <c r="O100" s="21">
        <f t="shared" si="18"/>
        <v>2.1248626102174373</v>
      </c>
      <c r="P100" s="21">
        <v>3</v>
      </c>
      <c r="Q100" s="21">
        <v>87.936000000000007</v>
      </c>
      <c r="R100" s="21">
        <v>3.6803699999999964</v>
      </c>
      <c r="S100" s="21">
        <f t="shared" si="13"/>
        <v>6.3745878306522625</v>
      </c>
      <c r="T100" s="21">
        <v>3</v>
      </c>
      <c r="U100" s="21" t="s">
        <v>353</v>
      </c>
      <c r="V100" s="21">
        <v>10000</v>
      </c>
      <c r="W100" s="21">
        <f t="shared" si="17"/>
        <v>10000</v>
      </c>
      <c r="X100" s="21" t="str">
        <f t="shared" si="14"/>
        <v>High</v>
      </c>
      <c r="Y100" s="21" t="s">
        <v>366</v>
      </c>
      <c r="Z100" s="21">
        <f t="shared" si="16"/>
        <v>7.4517626160344283E-2</v>
      </c>
      <c r="AA100" s="21">
        <f t="shared" si="10"/>
        <v>1.6768022704976128E-4</v>
      </c>
      <c r="AB100" s="21">
        <f t="shared" si="11"/>
        <v>1.7516589422042783E-3</v>
      </c>
      <c r="AC100" s="21">
        <f t="shared" si="15"/>
        <v>1.9193391692540395E-3</v>
      </c>
      <c r="AD100" s="21" t="s">
        <v>350</v>
      </c>
      <c r="AF100" s="21" t="s">
        <v>368</v>
      </c>
    </row>
    <row r="101" spans="1:33" s="21" customFormat="1" ht="15.75" x14ac:dyDescent="0.2">
      <c r="A101" s="21">
        <v>100</v>
      </c>
      <c r="B101" s="21">
        <v>6</v>
      </c>
      <c r="C101" s="21" t="s">
        <v>347</v>
      </c>
      <c r="D101" s="21" t="s">
        <v>367</v>
      </c>
      <c r="E101" s="21" t="s">
        <v>349</v>
      </c>
      <c r="F101" s="21" t="s">
        <v>333</v>
      </c>
      <c r="G101" s="21" t="s">
        <v>73</v>
      </c>
      <c r="H101" s="21" t="s">
        <v>360</v>
      </c>
      <c r="I101" s="21" t="s">
        <v>357</v>
      </c>
      <c r="J101" s="21">
        <v>6</v>
      </c>
      <c r="K101" s="21" t="s">
        <v>359</v>
      </c>
      <c r="L101" s="21">
        <v>3</v>
      </c>
      <c r="M101" s="21">
        <v>89.162790000000001</v>
      </c>
      <c r="N101" s="21">
        <v>4.2937700000000092</v>
      </c>
      <c r="O101" s="21">
        <f t="shared" si="18"/>
        <v>7.4370277960150339</v>
      </c>
      <c r="P101" s="21">
        <v>3</v>
      </c>
      <c r="Q101" s="21">
        <v>87.936000000000007</v>
      </c>
      <c r="R101" s="21">
        <v>3.6803699999999964</v>
      </c>
      <c r="S101" s="21">
        <f t="shared" si="13"/>
        <v>6.3745878306522625</v>
      </c>
      <c r="T101" s="21">
        <v>3</v>
      </c>
      <c r="U101" s="21" t="s">
        <v>354</v>
      </c>
      <c r="V101" s="21">
        <v>100000</v>
      </c>
      <c r="W101" s="21">
        <f t="shared" si="17"/>
        <v>100000</v>
      </c>
      <c r="X101" s="21" t="str">
        <f t="shared" si="14"/>
        <v>High</v>
      </c>
      <c r="Y101" s="21" t="s">
        <v>366</v>
      </c>
      <c r="Z101" s="21">
        <f t="shared" si="16"/>
        <v>1.3854522927471625E-2</v>
      </c>
      <c r="AA101" s="21">
        <f t="shared" si="10"/>
        <v>2.3190507642902054E-3</v>
      </c>
      <c r="AB101" s="21">
        <f t="shared" si="11"/>
        <v>1.7516589422042783E-3</v>
      </c>
      <c r="AC101" s="21">
        <f t="shared" si="15"/>
        <v>4.0707097064944832E-3</v>
      </c>
      <c r="AD101" s="21" t="s">
        <v>350</v>
      </c>
      <c r="AF101" s="21" t="s">
        <v>368</v>
      </c>
    </row>
    <row r="102" spans="1:33" s="21" customFormat="1" ht="15.75" x14ac:dyDescent="0.2">
      <c r="A102" s="21">
        <v>101</v>
      </c>
      <c r="B102" s="21">
        <v>6</v>
      </c>
      <c r="C102" s="21" t="s">
        <v>347</v>
      </c>
      <c r="D102" s="21" t="s">
        <v>367</v>
      </c>
      <c r="E102" s="21" t="s">
        <v>349</v>
      </c>
      <c r="F102" s="21" t="s">
        <v>333</v>
      </c>
      <c r="G102" s="21" t="s">
        <v>363</v>
      </c>
      <c r="H102" s="21" t="s">
        <v>360</v>
      </c>
      <c r="I102" s="21" t="s">
        <v>357</v>
      </c>
      <c r="J102" s="21">
        <v>6</v>
      </c>
      <c r="K102" s="21" t="s">
        <v>359</v>
      </c>
      <c r="L102" s="21">
        <v>3</v>
      </c>
      <c r="M102" s="21">
        <v>45.557560000000002</v>
      </c>
      <c r="N102" s="21">
        <v>11.061719999999994</v>
      </c>
      <c r="O102" s="21">
        <f t="shared" si="18"/>
        <v>19.159461059100789</v>
      </c>
      <c r="P102" s="21">
        <v>3</v>
      </c>
      <c r="Q102" s="21">
        <v>88.834119999999999</v>
      </c>
      <c r="R102" s="21">
        <v>1.4231400000000036</v>
      </c>
      <c r="S102" s="21">
        <f t="shared" si="13"/>
        <v>2.4649507862835782</v>
      </c>
      <c r="T102" s="21">
        <v>3</v>
      </c>
      <c r="U102" s="21" t="s">
        <v>352</v>
      </c>
      <c r="V102" s="21">
        <v>100</v>
      </c>
      <c r="W102" s="21">
        <f t="shared" si="17"/>
        <v>100</v>
      </c>
      <c r="X102" s="21" t="str">
        <f t="shared" si="14"/>
        <v>High</v>
      </c>
      <c r="Y102" s="21" t="s">
        <v>366</v>
      </c>
      <c r="Z102" s="21">
        <f t="shared" si="16"/>
        <v>-0.66779422903912622</v>
      </c>
      <c r="AA102" s="21">
        <f t="shared" si="10"/>
        <v>5.8955511372725623E-2</v>
      </c>
      <c r="AB102" s="21">
        <f t="shared" si="11"/>
        <v>2.5664667486951327E-4</v>
      </c>
      <c r="AC102" s="21">
        <f t="shared" si="15"/>
        <v>5.9212158047595137E-2</v>
      </c>
      <c r="AD102" s="21" t="s">
        <v>350</v>
      </c>
      <c r="AF102" s="21" t="s">
        <v>368</v>
      </c>
    </row>
    <row r="103" spans="1:33" s="21" customFormat="1" ht="15.75" x14ac:dyDescent="0.2">
      <c r="A103" s="21">
        <v>102</v>
      </c>
      <c r="B103" s="21">
        <v>6</v>
      </c>
      <c r="C103" s="21" t="s">
        <v>347</v>
      </c>
      <c r="D103" s="21" t="s">
        <v>367</v>
      </c>
      <c r="E103" s="21" t="s">
        <v>349</v>
      </c>
      <c r="F103" s="21" t="s">
        <v>333</v>
      </c>
      <c r="G103" s="21" t="s">
        <v>363</v>
      </c>
      <c r="H103" s="21" t="s">
        <v>360</v>
      </c>
      <c r="I103" s="21" t="s">
        <v>357</v>
      </c>
      <c r="J103" s="21">
        <v>6</v>
      </c>
      <c r="K103" s="21" t="s">
        <v>359</v>
      </c>
      <c r="L103" s="21">
        <v>3</v>
      </c>
      <c r="M103" s="21">
        <v>42.323140000000002</v>
      </c>
      <c r="N103" s="21">
        <v>26.06944</v>
      </c>
      <c r="O103" s="21">
        <f t="shared" si="18"/>
        <v>45.153594604868388</v>
      </c>
      <c r="P103" s="21">
        <v>3</v>
      </c>
      <c r="Q103" s="21">
        <v>88.834119999999999</v>
      </c>
      <c r="R103" s="21">
        <v>1.4231400000000036</v>
      </c>
      <c r="S103" s="21">
        <f t="shared" si="13"/>
        <v>2.4649507862835782</v>
      </c>
      <c r="T103" s="21">
        <v>3</v>
      </c>
      <c r="U103" s="21" t="s">
        <v>353</v>
      </c>
      <c r="V103" s="21">
        <v>10000</v>
      </c>
      <c r="W103" s="21">
        <f t="shared" si="17"/>
        <v>10000</v>
      </c>
      <c r="X103" s="21" t="str">
        <f t="shared" si="14"/>
        <v>High</v>
      </c>
      <c r="Y103" s="21" t="s">
        <v>366</v>
      </c>
      <c r="Z103" s="21">
        <f t="shared" si="16"/>
        <v>-0.74143682903832253</v>
      </c>
      <c r="AA103" s="21">
        <f t="shared" si="10"/>
        <v>0.37940901194307564</v>
      </c>
      <c r="AB103" s="21">
        <f t="shared" si="11"/>
        <v>2.5664667486951327E-4</v>
      </c>
      <c r="AC103" s="21">
        <f t="shared" si="15"/>
        <v>0.37966565861794516</v>
      </c>
      <c r="AD103" s="21" t="s">
        <v>350</v>
      </c>
      <c r="AF103" s="21" t="s">
        <v>368</v>
      </c>
    </row>
    <row r="104" spans="1:33" s="21" customFormat="1" ht="15.75" x14ac:dyDescent="0.2">
      <c r="A104" s="21">
        <v>103</v>
      </c>
      <c r="B104" s="21">
        <v>6</v>
      </c>
      <c r="C104" s="21" t="s">
        <v>347</v>
      </c>
      <c r="D104" s="21" t="s">
        <v>367</v>
      </c>
      <c r="E104" s="21" t="s">
        <v>349</v>
      </c>
      <c r="F104" s="21" t="s">
        <v>333</v>
      </c>
      <c r="G104" s="21" t="s">
        <v>363</v>
      </c>
      <c r="H104" s="21" t="s">
        <v>360</v>
      </c>
      <c r="I104" s="21" t="s">
        <v>357</v>
      </c>
      <c r="J104" s="21">
        <v>6</v>
      </c>
      <c r="K104" s="21" t="s">
        <v>359</v>
      </c>
      <c r="L104" s="21">
        <v>3</v>
      </c>
      <c r="M104" s="21">
        <v>57.718989999999998</v>
      </c>
      <c r="N104" s="21">
        <v>6.468839999999993</v>
      </c>
      <c r="O104" s="21">
        <f t="shared" si="18"/>
        <v>11.204359546033844</v>
      </c>
      <c r="P104" s="21">
        <v>3</v>
      </c>
      <c r="Q104" s="21">
        <v>88.834119999999999</v>
      </c>
      <c r="R104" s="21">
        <v>1.4231400000000036</v>
      </c>
      <c r="S104" s="21">
        <f t="shared" si="13"/>
        <v>2.4649507862835782</v>
      </c>
      <c r="T104" s="21">
        <v>3</v>
      </c>
      <c r="U104" s="21" t="s">
        <v>354</v>
      </c>
      <c r="V104" s="21">
        <v>100000</v>
      </c>
      <c r="W104" s="21">
        <f t="shared" si="17"/>
        <v>100000</v>
      </c>
      <c r="X104" s="21" t="str">
        <f t="shared" si="14"/>
        <v>High</v>
      </c>
      <c r="Y104" s="21" t="s">
        <v>366</v>
      </c>
      <c r="Z104" s="21">
        <f t="shared" si="16"/>
        <v>-0.43118457494821327</v>
      </c>
      <c r="AA104" s="21">
        <f t="shared" si="10"/>
        <v>1.2560744249734919E-2</v>
      </c>
      <c r="AB104" s="21">
        <f t="shared" si="11"/>
        <v>2.5664667486951327E-4</v>
      </c>
      <c r="AC104" s="21">
        <f t="shared" si="15"/>
        <v>1.2817390924604433E-2</v>
      </c>
      <c r="AD104" s="21" t="s">
        <v>350</v>
      </c>
      <c r="AF104" s="21" t="s">
        <v>368</v>
      </c>
    </row>
    <row r="105" spans="1:33" s="21" customFormat="1" ht="15.75" customHeight="1" x14ac:dyDescent="0.2">
      <c r="A105" s="21">
        <v>104</v>
      </c>
      <c r="B105" s="21">
        <v>6</v>
      </c>
      <c r="C105" s="21" t="s">
        <v>347</v>
      </c>
      <c r="D105" s="21" t="s">
        <v>365</v>
      </c>
      <c r="E105" s="21" t="s">
        <v>349</v>
      </c>
      <c r="F105" s="21" t="s">
        <v>333</v>
      </c>
      <c r="G105" s="21" t="s">
        <v>73</v>
      </c>
      <c r="H105" s="21" t="s">
        <v>360</v>
      </c>
      <c r="I105" s="21" t="s">
        <v>357</v>
      </c>
      <c r="J105" s="21">
        <v>6</v>
      </c>
      <c r="K105" s="21" t="s">
        <v>359</v>
      </c>
      <c r="L105" s="21">
        <v>3</v>
      </c>
      <c r="M105" s="21">
        <v>1.9053500000000001</v>
      </c>
      <c r="N105" s="21">
        <v>0.11581000000000019</v>
      </c>
      <c r="O105" s="21">
        <f t="shared" si="18"/>
        <v>0.20058880402455201</v>
      </c>
      <c r="P105" s="21">
        <v>3</v>
      </c>
      <c r="Q105" s="21">
        <v>1.92591</v>
      </c>
      <c r="R105" s="21">
        <v>0.24797000000000002</v>
      </c>
      <c r="S105" s="21">
        <f t="shared" si="13"/>
        <v>0.42949663875285454</v>
      </c>
      <c r="T105" s="21">
        <v>3</v>
      </c>
      <c r="U105" s="21" t="s">
        <v>352</v>
      </c>
      <c r="V105" s="21">
        <v>100</v>
      </c>
      <c r="W105" s="21">
        <f t="shared" si="17"/>
        <v>100</v>
      </c>
      <c r="X105" s="21" t="str">
        <f t="shared" si="14"/>
        <v>High</v>
      </c>
      <c r="Y105" s="21" t="s">
        <v>366</v>
      </c>
      <c r="Z105" s="21">
        <f t="shared" si="16"/>
        <v>-1.0732864575098236E-2</v>
      </c>
      <c r="AA105" s="21">
        <f t="shared" si="10"/>
        <v>3.6943887628280844E-3</v>
      </c>
      <c r="AB105" s="21">
        <f t="shared" si="11"/>
        <v>1.6577777548537998E-2</v>
      </c>
      <c r="AC105" s="21">
        <f t="shared" si="15"/>
        <v>2.0272166311366083E-2</v>
      </c>
      <c r="AD105" s="21" t="s">
        <v>350</v>
      </c>
      <c r="AF105" s="21" t="s">
        <v>364</v>
      </c>
      <c r="AG105" s="21" t="s">
        <v>370</v>
      </c>
    </row>
    <row r="106" spans="1:33" s="21" customFormat="1" ht="15.75" x14ac:dyDescent="0.2">
      <c r="A106" s="21">
        <v>105</v>
      </c>
      <c r="B106" s="21">
        <v>6</v>
      </c>
      <c r="C106" s="21" t="s">
        <v>347</v>
      </c>
      <c r="D106" s="21" t="s">
        <v>365</v>
      </c>
      <c r="E106" s="21" t="s">
        <v>349</v>
      </c>
      <c r="F106" s="21" t="s">
        <v>333</v>
      </c>
      <c r="G106" s="21" t="s">
        <v>73</v>
      </c>
      <c r="H106" s="21" t="s">
        <v>360</v>
      </c>
      <c r="I106" s="21" t="s">
        <v>357</v>
      </c>
      <c r="J106" s="21">
        <v>6</v>
      </c>
      <c r="K106" s="21" t="s">
        <v>359</v>
      </c>
      <c r="L106" s="21">
        <v>3</v>
      </c>
      <c r="M106" s="21">
        <v>1.9884299999999999</v>
      </c>
      <c r="N106" s="21">
        <v>2.3080000000000211E-2</v>
      </c>
      <c r="O106" s="21">
        <f t="shared" si="18"/>
        <v>3.9975732638690052E-2</v>
      </c>
      <c r="P106" s="21">
        <v>3</v>
      </c>
      <c r="Q106" s="21">
        <v>1.92591</v>
      </c>
      <c r="R106" s="21">
        <v>0.24797000000000002</v>
      </c>
      <c r="S106" s="21">
        <f t="shared" si="13"/>
        <v>0.42949663875285454</v>
      </c>
      <c r="T106" s="21">
        <v>3</v>
      </c>
      <c r="U106" s="21" t="s">
        <v>353</v>
      </c>
      <c r="V106" s="21">
        <v>10000</v>
      </c>
      <c r="W106" s="21">
        <f t="shared" si="17"/>
        <v>10000</v>
      </c>
      <c r="X106" s="21" t="str">
        <f t="shared" si="14"/>
        <v>High</v>
      </c>
      <c r="Y106" s="21" t="s">
        <v>366</v>
      </c>
      <c r="Z106" s="21">
        <f t="shared" si="16"/>
        <v>3.1946799319970055E-2</v>
      </c>
      <c r="AA106" s="21">
        <f t="shared" si="10"/>
        <v>1.3472586954436726E-4</v>
      </c>
      <c r="AB106" s="21">
        <f t="shared" si="11"/>
        <v>1.6577777548537998E-2</v>
      </c>
      <c r="AC106" s="21">
        <f t="shared" si="15"/>
        <v>1.6712503418082364E-2</v>
      </c>
      <c r="AD106" s="21" t="s">
        <v>350</v>
      </c>
      <c r="AF106" s="21" t="s">
        <v>364</v>
      </c>
    </row>
    <row r="107" spans="1:33" s="21" customFormat="1" ht="15.75" x14ac:dyDescent="0.2">
      <c r="A107" s="21">
        <v>106</v>
      </c>
      <c r="B107" s="21">
        <v>6</v>
      </c>
      <c r="C107" s="21" t="s">
        <v>347</v>
      </c>
      <c r="D107" s="21" t="s">
        <v>365</v>
      </c>
      <c r="E107" s="21" t="s">
        <v>349</v>
      </c>
      <c r="F107" s="21" t="s">
        <v>333</v>
      </c>
      <c r="G107" s="21" t="s">
        <v>73</v>
      </c>
      <c r="H107" s="21" t="s">
        <v>360</v>
      </c>
      <c r="I107" s="21" t="s">
        <v>357</v>
      </c>
      <c r="J107" s="21">
        <v>6</v>
      </c>
      <c r="K107" s="21" t="s">
        <v>359</v>
      </c>
      <c r="L107" s="21">
        <v>3</v>
      </c>
      <c r="M107" s="21">
        <v>1.86591</v>
      </c>
      <c r="N107" s="21">
        <v>6.5039999999999987E-2</v>
      </c>
      <c r="O107" s="21">
        <f t="shared" si="18"/>
        <v>0.11265258452427974</v>
      </c>
      <c r="P107" s="21">
        <v>3</v>
      </c>
      <c r="Q107" s="21">
        <v>1.92591</v>
      </c>
      <c r="R107" s="21">
        <v>0.24797000000000002</v>
      </c>
      <c r="S107" s="21">
        <f t="shared" si="13"/>
        <v>0.42949663875285454</v>
      </c>
      <c r="T107" s="21">
        <v>3</v>
      </c>
      <c r="U107" s="21" t="s">
        <v>354</v>
      </c>
      <c r="V107" s="21">
        <v>100000</v>
      </c>
      <c r="W107" s="21">
        <f t="shared" si="17"/>
        <v>100000</v>
      </c>
      <c r="X107" s="21" t="str">
        <f t="shared" si="14"/>
        <v>High</v>
      </c>
      <c r="Y107" s="21" t="s">
        <v>366</v>
      </c>
      <c r="Z107" s="21">
        <f t="shared" si="16"/>
        <v>-3.1649713561417485E-2</v>
      </c>
      <c r="AA107" s="21">
        <f t="shared" si="10"/>
        <v>1.2150095198089619E-3</v>
      </c>
      <c r="AB107" s="21">
        <f t="shared" si="11"/>
        <v>1.6577777548537998E-2</v>
      </c>
      <c r="AC107" s="21">
        <f t="shared" si="15"/>
        <v>1.7792787068346961E-2</v>
      </c>
      <c r="AD107" s="21" t="s">
        <v>350</v>
      </c>
      <c r="AF107" s="21" t="s">
        <v>364</v>
      </c>
    </row>
    <row r="108" spans="1:33" s="21" customFormat="1" ht="15.75" x14ac:dyDescent="0.2">
      <c r="A108" s="21">
        <v>107</v>
      </c>
      <c r="B108" s="21">
        <v>6</v>
      </c>
      <c r="C108" s="21" t="s">
        <v>347</v>
      </c>
      <c r="D108" s="21" t="s">
        <v>365</v>
      </c>
      <c r="E108" s="21" t="s">
        <v>349</v>
      </c>
      <c r="F108" s="21" t="s">
        <v>333</v>
      </c>
      <c r="G108" s="21" t="s">
        <v>363</v>
      </c>
      <c r="H108" s="21" t="s">
        <v>360</v>
      </c>
      <c r="I108" s="21" t="s">
        <v>357</v>
      </c>
      <c r="J108" s="21">
        <v>6</v>
      </c>
      <c r="K108" s="21" t="s">
        <v>359</v>
      </c>
      <c r="L108" s="21">
        <v>3</v>
      </c>
      <c r="M108" s="21">
        <v>1.9268700000000001</v>
      </c>
      <c r="N108" s="21">
        <v>0.22132000000000018</v>
      </c>
      <c r="O108" s="21">
        <f t="shared" si="18"/>
        <v>0.38333748473114421</v>
      </c>
      <c r="P108" s="21">
        <v>3</v>
      </c>
      <c r="Q108" s="21">
        <v>2.0199199999999999</v>
      </c>
      <c r="R108" s="21">
        <v>7.7199999999999491E-3</v>
      </c>
      <c r="S108" s="21">
        <f t="shared" si="13"/>
        <v>1.3371432234431643E-2</v>
      </c>
      <c r="T108" s="21">
        <v>3</v>
      </c>
      <c r="U108" s="21" t="s">
        <v>352</v>
      </c>
      <c r="V108" s="21">
        <v>100</v>
      </c>
      <c r="W108" s="21">
        <f t="shared" si="17"/>
        <v>100</v>
      </c>
      <c r="X108" s="21" t="str">
        <f t="shared" si="14"/>
        <v>High</v>
      </c>
      <c r="Y108" s="21" t="s">
        <v>366</v>
      </c>
      <c r="Z108" s="21">
        <f t="shared" si="16"/>
        <v>-4.7160981888670336E-2</v>
      </c>
      <c r="AA108" s="21">
        <f t="shared" si="10"/>
        <v>1.3192785241033978E-2</v>
      </c>
      <c r="AB108" s="21">
        <f t="shared" si="11"/>
        <v>1.4607175998871707E-5</v>
      </c>
      <c r="AC108" s="21">
        <f t="shared" si="15"/>
        <v>1.3207392417032849E-2</v>
      </c>
      <c r="AD108" s="21" t="s">
        <v>350</v>
      </c>
      <c r="AF108" s="21" t="s">
        <v>364</v>
      </c>
    </row>
    <row r="109" spans="1:33" s="21" customFormat="1" ht="15.75" x14ac:dyDescent="0.2">
      <c r="A109" s="21">
        <v>108</v>
      </c>
      <c r="B109" s="21">
        <v>6</v>
      </c>
      <c r="C109" s="21" t="s">
        <v>347</v>
      </c>
      <c r="D109" s="21" t="s">
        <v>365</v>
      </c>
      <c r="E109" s="21" t="s">
        <v>349</v>
      </c>
      <c r="F109" s="21" t="s">
        <v>333</v>
      </c>
      <c r="G109" s="21" t="s">
        <v>363</v>
      </c>
      <c r="H109" s="21" t="s">
        <v>360</v>
      </c>
      <c r="I109" s="21" t="s">
        <v>357</v>
      </c>
      <c r="J109" s="21">
        <v>6</v>
      </c>
      <c r="K109" s="21" t="s">
        <v>359</v>
      </c>
      <c r="L109" s="21">
        <v>3</v>
      </c>
      <c r="M109" s="21">
        <v>1.7373799999999999</v>
      </c>
      <c r="N109" s="21">
        <v>0.11475999999999997</v>
      </c>
      <c r="O109" s="21">
        <f t="shared" si="18"/>
        <v>0.19877015067660431</v>
      </c>
      <c r="P109" s="21">
        <v>3</v>
      </c>
      <c r="Q109" s="21">
        <v>2.0199199999999999</v>
      </c>
      <c r="R109" s="21">
        <v>7.7199999999999491E-3</v>
      </c>
      <c r="S109" s="21">
        <f t="shared" si="13"/>
        <v>1.3371432234431643E-2</v>
      </c>
      <c r="T109" s="21">
        <v>3</v>
      </c>
      <c r="U109" s="21" t="s">
        <v>353</v>
      </c>
      <c r="V109" s="21">
        <v>10000</v>
      </c>
      <c r="W109" s="21">
        <f t="shared" si="17"/>
        <v>10000</v>
      </c>
      <c r="X109" s="21" t="str">
        <f t="shared" si="14"/>
        <v>High</v>
      </c>
      <c r="Y109" s="21" t="s">
        <v>366</v>
      </c>
      <c r="Z109" s="21">
        <f t="shared" si="16"/>
        <v>-0.15067967534493065</v>
      </c>
      <c r="AA109" s="21">
        <f t="shared" si="10"/>
        <v>4.3630625940350434E-3</v>
      </c>
      <c r="AB109" s="21">
        <f t="shared" si="11"/>
        <v>1.4607175998871707E-5</v>
      </c>
      <c r="AC109" s="21">
        <f t="shared" si="15"/>
        <v>4.3776697700339149E-3</v>
      </c>
      <c r="AD109" s="21" t="s">
        <v>350</v>
      </c>
      <c r="AF109" s="21" t="s">
        <v>364</v>
      </c>
    </row>
    <row r="110" spans="1:33" s="21" customFormat="1" ht="15.75" x14ac:dyDescent="0.2">
      <c r="A110" s="21">
        <v>109</v>
      </c>
      <c r="B110" s="21">
        <v>6</v>
      </c>
      <c r="C110" s="21" t="s">
        <v>347</v>
      </c>
      <c r="D110" s="21" t="s">
        <v>365</v>
      </c>
      <c r="E110" s="21" t="s">
        <v>349</v>
      </c>
      <c r="F110" s="21" t="s">
        <v>333</v>
      </c>
      <c r="G110" s="21" t="s">
        <v>363</v>
      </c>
      <c r="H110" s="21" t="s">
        <v>360</v>
      </c>
      <c r="I110" s="21" t="s">
        <v>357</v>
      </c>
      <c r="J110" s="21">
        <v>6</v>
      </c>
      <c r="K110" s="21" t="s">
        <v>359</v>
      </c>
      <c r="L110" s="21">
        <v>3</v>
      </c>
      <c r="M110" s="21">
        <v>1.74027</v>
      </c>
      <c r="N110" s="21">
        <v>3.2000000000000001E-2</v>
      </c>
      <c r="O110" s="21">
        <f t="shared" si="18"/>
        <v>5.542562584220407E-2</v>
      </c>
      <c r="P110" s="21">
        <v>3</v>
      </c>
      <c r="Q110" s="21">
        <v>2.0199199999999999</v>
      </c>
      <c r="R110" s="21">
        <v>0.23</v>
      </c>
      <c r="S110" s="21">
        <f t="shared" si="13"/>
        <v>0.39837168574084175</v>
      </c>
      <c r="T110" s="21">
        <v>3</v>
      </c>
      <c r="U110" s="21" t="s">
        <v>354</v>
      </c>
      <c r="V110" s="21">
        <v>100000</v>
      </c>
      <c r="W110" s="21">
        <f t="shared" si="17"/>
        <v>100000</v>
      </c>
      <c r="X110" s="21" t="str">
        <f t="shared" si="14"/>
        <v>High</v>
      </c>
      <c r="Y110" s="21" t="s">
        <v>366</v>
      </c>
      <c r="Z110" s="21">
        <f t="shared" si="16"/>
        <v>-0.14901763306622268</v>
      </c>
      <c r="AA110" s="21">
        <f t="shared" si="10"/>
        <v>3.3811675282412965E-4</v>
      </c>
      <c r="AB110" s="21">
        <f t="shared" si="11"/>
        <v>1.2965442198789289E-2</v>
      </c>
      <c r="AC110" s="21">
        <f t="shared" si="15"/>
        <v>1.3303558951613418E-2</v>
      </c>
      <c r="AD110" s="21" t="s">
        <v>350</v>
      </c>
      <c r="AF110" s="21" t="s">
        <v>364</v>
      </c>
    </row>
    <row r="111" spans="1:33" s="21" customFormat="1" ht="15.75" x14ac:dyDescent="0.2">
      <c r="A111" s="21">
        <v>110</v>
      </c>
      <c r="B111" s="21">
        <v>6</v>
      </c>
      <c r="C111" s="21" t="s">
        <v>347</v>
      </c>
      <c r="D111" s="21" t="s">
        <v>365</v>
      </c>
      <c r="E111" s="21" t="s">
        <v>349</v>
      </c>
      <c r="F111" s="21" t="s">
        <v>333</v>
      </c>
      <c r="G111" s="21" t="s">
        <v>73</v>
      </c>
      <c r="H111" s="21" t="s">
        <v>360</v>
      </c>
      <c r="I111" s="21" t="s">
        <v>357</v>
      </c>
      <c r="J111" s="21">
        <v>6</v>
      </c>
      <c r="K111" s="21" t="s">
        <v>359</v>
      </c>
      <c r="L111" s="21">
        <v>3</v>
      </c>
      <c r="M111" s="21">
        <v>0.63736000000000004</v>
      </c>
      <c r="N111" s="21">
        <v>0.16273000000000004</v>
      </c>
      <c r="O111" s="21">
        <f t="shared" si="18"/>
        <v>0.28185662791568344</v>
      </c>
      <c r="P111" s="21">
        <v>3</v>
      </c>
      <c r="Q111" s="21">
        <v>0.64561999999999997</v>
      </c>
      <c r="R111" s="21">
        <v>0.18546000000000007</v>
      </c>
      <c r="S111" s="21">
        <f t="shared" si="13"/>
        <v>0.32122614277172407</v>
      </c>
      <c r="T111" s="21">
        <v>3</v>
      </c>
      <c r="U111" s="21" t="s">
        <v>352</v>
      </c>
      <c r="V111" s="21">
        <v>100</v>
      </c>
      <c r="W111" s="21">
        <f t="shared" si="17"/>
        <v>100</v>
      </c>
      <c r="X111" s="21" t="str">
        <f t="shared" si="14"/>
        <v>High</v>
      </c>
      <c r="Y111" s="21" t="s">
        <v>366</v>
      </c>
      <c r="Z111" s="21">
        <f t="shared" si="16"/>
        <v>-1.2876450338115668E-2</v>
      </c>
      <c r="AA111" s="21">
        <f t="shared" si="10"/>
        <v>6.5187697350368445E-2</v>
      </c>
      <c r="AB111" s="21">
        <f t="shared" si="11"/>
        <v>8.2517594635052052E-2</v>
      </c>
      <c r="AC111" s="21">
        <f t="shared" si="15"/>
        <v>0.14770529198542048</v>
      </c>
      <c r="AD111" s="21" t="s">
        <v>350</v>
      </c>
      <c r="AF111" s="21" t="s">
        <v>368</v>
      </c>
    </row>
    <row r="112" spans="1:33" s="21" customFormat="1" ht="15.75" x14ac:dyDescent="0.2">
      <c r="A112" s="21">
        <v>111</v>
      </c>
      <c r="B112" s="21">
        <v>6</v>
      </c>
      <c r="C112" s="21" t="s">
        <v>347</v>
      </c>
      <c r="D112" s="21" t="s">
        <v>365</v>
      </c>
      <c r="E112" s="21" t="s">
        <v>349</v>
      </c>
      <c r="F112" s="21" t="s">
        <v>333</v>
      </c>
      <c r="G112" s="21" t="s">
        <v>73</v>
      </c>
      <c r="H112" s="21" t="s">
        <v>360</v>
      </c>
      <c r="I112" s="21" t="s">
        <v>357</v>
      </c>
      <c r="J112" s="21">
        <v>6</v>
      </c>
      <c r="K112" s="21" t="s">
        <v>359</v>
      </c>
      <c r="L112" s="21">
        <v>3</v>
      </c>
      <c r="M112" s="21">
        <v>0.52009000000000005</v>
      </c>
      <c r="N112" s="21">
        <v>4.8559999999999937E-2</v>
      </c>
      <c r="O112" s="21">
        <f t="shared" si="18"/>
        <v>8.4108387215544561E-2</v>
      </c>
      <c r="P112" s="21">
        <v>3</v>
      </c>
      <c r="Q112" s="21">
        <v>0.64561999999999997</v>
      </c>
      <c r="R112" s="21">
        <v>0.18546000000000007</v>
      </c>
      <c r="S112" s="21">
        <f t="shared" si="13"/>
        <v>0.32122614277172407</v>
      </c>
      <c r="T112" s="21">
        <v>3</v>
      </c>
      <c r="U112" s="21" t="s">
        <v>353</v>
      </c>
      <c r="V112" s="21">
        <v>10000</v>
      </c>
      <c r="W112" s="21">
        <f t="shared" si="17"/>
        <v>10000</v>
      </c>
      <c r="X112" s="21" t="str">
        <f t="shared" si="14"/>
        <v>High</v>
      </c>
      <c r="Y112" s="21" t="s">
        <v>366</v>
      </c>
      <c r="Z112" s="21">
        <f t="shared" si="16"/>
        <v>-0.21620922188775901</v>
      </c>
      <c r="AA112" s="21">
        <f t="shared" si="10"/>
        <v>8.7176684749172544E-3</v>
      </c>
      <c r="AB112" s="21">
        <f t="shared" si="11"/>
        <v>8.2517594635052052E-2</v>
      </c>
      <c r="AC112" s="21">
        <f t="shared" si="15"/>
        <v>9.1235263109969308E-2</v>
      </c>
      <c r="AD112" s="21" t="s">
        <v>350</v>
      </c>
      <c r="AF112" s="21" t="s">
        <v>368</v>
      </c>
    </row>
    <row r="113" spans="1:32" s="21" customFormat="1" ht="15.75" x14ac:dyDescent="0.2">
      <c r="A113" s="21">
        <v>112</v>
      </c>
      <c r="B113" s="21">
        <v>6</v>
      </c>
      <c r="C113" s="21" t="s">
        <v>347</v>
      </c>
      <c r="D113" s="21" t="s">
        <v>365</v>
      </c>
      <c r="E113" s="21" t="s">
        <v>349</v>
      </c>
      <c r="F113" s="21" t="s">
        <v>333</v>
      </c>
      <c r="G113" s="21" t="s">
        <v>141</v>
      </c>
      <c r="H113" s="21" t="s">
        <v>360</v>
      </c>
      <c r="I113" s="21" t="s">
        <v>357</v>
      </c>
      <c r="J113" s="21">
        <v>6</v>
      </c>
      <c r="K113" s="21" t="s">
        <v>359</v>
      </c>
      <c r="L113" s="21">
        <v>3</v>
      </c>
      <c r="M113" s="21">
        <v>0.44052999999999998</v>
      </c>
      <c r="N113" s="21">
        <v>2.3249999999999993E-2</v>
      </c>
      <c r="O113" s="21">
        <f t="shared" si="18"/>
        <v>4.0270181275976383E-2</v>
      </c>
      <c r="P113" s="21">
        <v>3</v>
      </c>
      <c r="Q113" s="21">
        <v>0.64561999999999997</v>
      </c>
      <c r="R113" s="21">
        <v>0.18546000000000007</v>
      </c>
      <c r="S113" s="21">
        <f t="shared" si="13"/>
        <v>0.32122614277172407</v>
      </c>
      <c r="T113" s="21">
        <v>3</v>
      </c>
      <c r="U113" s="21" t="s">
        <v>354</v>
      </c>
      <c r="V113" s="21">
        <v>100000</v>
      </c>
      <c r="W113" s="21">
        <f t="shared" si="17"/>
        <v>100000</v>
      </c>
      <c r="X113" s="21" t="str">
        <f t="shared" si="14"/>
        <v>High</v>
      </c>
      <c r="Y113" s="21" t="s">
        <v>366</v>
      </c>
      <c r="Z113" s="21">
        <f t="shared" ref="Z113:Z130" si="19">LN(M113/Q113)</f>
        <v>-0.38223254792620565</v>
      </c>
      <c r="AA113" s="21">
        <f t="shared" si="10"/>
        <v>2.785447236450364E-3</v>
      </c>
      <c r="AB113" s="21">
        <f t="shared" si="11"/>
        <v>8.2517594635052052E-2</v>
      </c>
      <c r="AC113" s="21">
        <f t="shared" si="15"/>
        <v>8.5303041871502422E-2</v>
      </c>
      <c r="AD113" s="21" t="s">
        <v>350</v>
      </c>
      <c r="AF113" s="21" t="s">
        <v>368</v>
      </c>
    </row>
    <row r="114" spans="1:32" s="21" customFormat="1" ht="15.75" x14ac:dyDescent="0.2">
      <c r="A114" s="21">
        <v>113</v>
      </c>
      <c r="B114" s="21">
        <v>6</v>
      </c>
      <c r="C114" s="21" t="s">
        <v>347</v>
      </c>
      <c r="D114" s="21" t="s">
        <v>365</v>
      </c>
      <c r="E114" s="21" t="s">
        <v>349</v>
      </c>
      <c r="F114" s="21" t="s">
        <v>333</v>
      </c>
      <c r="G114" s="21" t="s">
        <v>363</v>
      </c>
      <c r="H114" s="21" t="s">
        <v>360</v>
      </c>
      <c r="I114" s="21" t="s">
        <v>357</v>
      </c>
      <c r="J114" s="21">
        <v>6</v>
      </c>
      <c r="K114" s="21" t="s">
        <v>359</v>
      </c>
      <c r="L114" s="21">
        <v>3</v>
      </c>
      <c r="M114" s="21">
        <v>0.66164999999999996</v>
      </c>
      <c r="N114" s="21">
        <v>0.12879000000000007</v>
      </c>
      <c r="O114" s="21">
        <f t="shared" si="18"/>
        <v>0.22307082350679583</v>
      </c>
      <c r="P114" s="21">
        <v>3</v>
      </c>
      <c r="Q114" s="21">
        <v>0.78400000000000003</v>
      </c>
      <c r="R114" s="21">
        <v>4.9989999999999979E-2</v>
      </c>
      <c r="S114" s="21">
        <f t="shared" si="13"/>
        <v>8.658521987036813E-2</v>
      </c>
      <c r="T114" s="21">
        <v>3</v>
      </c>
      <c r="U114" s="21" t="s">
        <v>352</v>
      </c>
      <c r="V114" s="21">
        <v>100</v>
      </c>
      <c r="W114" s="21">
        <f t="shared" si="17"/>
        <v>100</v>
      </c>
      <c r="X114" s="21" t="str">
        <f t="shared" si="14"/>
        <v>High</v>
      </c>
      <c r="Y114" s="21" t="s">
        <v>366</v>
      </c>
      <c r="Z114" s="21">
        <f t="shared" si="19"/>
        <v>-0.16967230513134954</v>
      </c>
      <c r="AA114" s="21">
        <f t="shared" si="10"/>
        <v>3.7888521004942194E-2</v>
      </c>
      <c r="AB114" s="21">
        <f t="shared" si="11"/>
        <v>4.0656889382028275E-3</v>
      </c>
      <c r="AC114" s="21">
        <f t="shared" si="15"/>
        <v>4.195420994314502E-2</v>
      </c>
      <c r="AD114" s="21" t="s">
        <v>350</v>
      </c>
      <c r="AF114" s="21" t="s">
        <v>368</v>
      </c>
    </row>
    <row r="115" spans="1:32" s="21" customFormat="1" ht="15.75" x14ac:dyDescent="0.2">
      <c r="A115" s="21">
        <v>114</v>
      </c>
      <c r="B115" s="21">
        <v>6</v>
      </c>
      <c r="C115" s="21" t="s">
        <v>347</v>
      </c>
      <c r="D115" s="21" t="s">
        <v>365</v>
      </c>
      <c r="E115" s="21" t="s">
        <v>349</v>
      </c>
      <c r="F115" s="21" t="s">
        <v>333</v>
      </c>
      <c r="G115" s="21" t="s">
        <v>363</v>
      </c>
      <c r="H115" s="21" t="s">
        <v>360</v>
      </c>
      <c r="I115" s="21" t="s">
        <v>357</v>
      </c>
      <c r="J115" s="21">
        <v>6</v>
      </c>
      <c r="K115" s="21" t="s">
        <v>359</v>
      </c>
      <c r="L115" s="21">
        <v>3</v>
      </c>
      <c r="M115" s="21">
        <v>0.41739999999999999</v>
      </c>
      <c r="N115" s="21">
        <v>0.29421999999999998</v>
      </c>
      <c r="O115" s="21">
        <f t="shared" si="18"/>
        <v>0.509603988602915</v>
      </c>
      <c r="P115" s="21">
        <v>3</v>
      </c>
      <c r="Q115" s="21">
        <v>0.78400000000000003</v>
      </c>
      <c r="R115" s="21">
        <v>4.9989999999999979E-2</v>
      </c>
      <c r="S115" s="21">
        <f t="shared" si="13"/>
        <v>8.658521987036813E-2</v>
      </c>
      <c r="T115" s="21">
        <v>3</v>
      </c>
      <c r="U115" s="21" t="s">
        <v>353</v>
      </c>
      <c r="V115" s="21">
        <v>10000</v>
      </c>
      <c r="W115" s="21">
        <f t="shared" si="17"/>
        <v>10000</v>
      </c>
      <c r="X115" s="21" t="str">
        <f t="shared" si="14"/>
        <v>High</v>
      </c>
      <c r="Y115" s="21" t="s">
        <v>366</v>
      </c>
      <c r="Z115" s="21">
        <f t="shared" si="19"/>
        <v>-0.63036402570730765</v>
      </c>
      <c r="AA115" s="21">
        <f t="shared" si="10"/>
        <v>0.49686624411184838</v>
      </c>
      <c r="AB115" s="21">
        <f t="shared" si="11"/>
        <v>4.0656889382028275E-3</v>
      </c>
      <c r="AC115" s="21">
        <f t="shared" si="15"/>
        <v>0.50093193305005124</v>
      </c>
      <c r="AD115" s="21" t="s">
        <v>350</v>
      </c>
      <c r="AF115" s="21" t="s">
        <v>368</v>
      </c>
    </row>
    <row r="116" spans="1:32" s="21" customFormat="1" ht="15.75" x14ac:dyDescent="0.2">
      <c r="A116" s="21">
        <v>115</v>
      </c>
      <c r="B116" s="21">
        <v>6</v>
      </c>
      <c r="C116" s="21" t="s">
        <v>347</v>
      </c>
      <c r="D116" s="21" t="s">
        <v>365</v>
      </c>
      <c r="E116" s="21" t="s">
        <v>349</v>
      </c>
      <c r="F116" s="21" t="s">
        <v>333</v>
      </c>
      <c r="G116" s="21" t="s">
        <v>363</v>
      </c>
      <c r="H116" s="21" t="s">
        <v>360</v>
      </c>
      <c r="I116" s="21" t="s">
        <v>357</v>
      </c>
      <c r="J116" s="21">
        <v>6</v>
      </c>
      <c r="K116" s="21" t="s">
        <v>359</v>
      </c>
      <c r="L116" s="21">
        <v>3</v>
      </c>
      <c r="M116" s="21">
        <v>0.37834000000000001</v>
      </c>
      <c r="N116" s="21">
        <v>0.12408999999999998</v>
      </c>
      <c r="O116" s="21">
        <f t="shared" si="18"/>
        <v>0.21493018471122194</v>
      </c>
      <c r="P116" s="21">
        <v>3</v>
      </c>
      <c r="Q116" s="21">
        <v>0.78400000000000003</v>
      </c>
      <c r="R116" s="21">
        <v>4.9989999999999979E-2</v>
      </c>
      <c r="S116" s="21">
        <f t="shared" si="13"/>
        <v>8.658521987036813E-2</v>
      </c>
      <c r="T116" s="21">
        <v>3</v>
      </c>
      <c r="U116" s="21" t="s">
        <v>354</v>
      </c>
      <c r="V116" s="21">
        <v>100000</v>
      </c>
      <c r="W116" s="21">
        <f t="shared" si="17"/>
        <v>100000</v>
      </c>
      <c r="X116" s="21" t="str">
        <f t="shared" si="14"/>
        <v>High</v>
      </c>
      <c r="Y116" s="21" t="s">
        <v>366</v>
      </c>
      <c r="Z116" s="21">
        <f t="shared" si="19"/>
        <v>-0.7286157581128907</v>
      </c>
      <c r="AA116" s="21">
        <f t="shared" si="10"/>
        <v>0.10757442913923207</v>
      </c>
      <c r="AB116" s="21">
        <f t="shared" si="11"/>
        <v>4.0656889382028275E-3</v>
      </c>
      <c r="AC116" s="21">
        <f t="shared" si="15"/>
        <v>0.1116401180774349</v>
      </c>
      <c r="AD116" s="21" t="s">
        <v>350</v>
      </c>
      <c r="AF116" s="21" t="s">
        <v>368</v>
      </c>
    </row>
    <row r="117" spans="1:32" s="21" customFormat="1" ht="15.75" x14ac:dyDescent="0.2">
      <c r="A117" s="21">
        <v>116</v>
      </c>
      <c r="B117" s="21">
        <v>6</v>
      </c>
      <c r="C117" s="21" t="s">
        <v>347</v>
      </c>
      <c r="D117" s="21" t="s">
        <v>367</v>
      </c>
      <c r="E117" s="21" t="s">
        <v>349</v>
      </c>
      <c r="F117" s="21" t="s">
        <v>333</v>
      </c>
      <c r="G117" s="21" t="s">
        <v>73</v>
      </c>
      <c r="H117" s="21" t="s">
        <v>360</v>
      </c>
      <c r="I117" s="21" t="s">
        <v>357</v>
      </c>
      <c r="J117" s="21">
        <v>6</v>
      </c>
      <c r="K117" s="21" t="s">
        <v>359</v>
      </c>
      <c r="L117" s="21">
        <v>3</v>
      </c>
      <c r="M117" s="21">
        <v>1.9586699999999999</v>
      </c>
      <c r="N117" s="21">
        <v>9.4890000000000363E-2</v>
      </c>
      <c r="O117" s="21">
        <f t="shared" si="18"/>
        <v>0.16435430113021138</v>
      </c>
      <c r="P117" s="21">
        <v>3</v>
      </c>
      <c r="Q117" s="21">
        <v>1.9037299999999999</v>
      </c>
      <c r="R117" s="21">
        <v>3.5600000000000076E-3</v>
      </c>
      <c r="S117" s="21">
        <f t="shared" si="13"/>
        <v>6.166100874945216E-3</v>
      </c>
      <c r="T117" s="21">
        <v>3</v>
      </c>
      <c r="U117" s="21" t="s">
        <v>352</v>
      </c>
      <c r="V117" s="21">
        <v>100</v>
      </c>
      <c r="W117" s="21">
        <f t="shared" si="17"/>
        <v>100</v>
      </c>
      <c r="X117" s="21" t="str">
        <f t="shared" si="14"/>
        <v>High</v>
      </c>
      <c r="Y117" s="21" t="s">
        <v>366</v>
      </c>
      <c r="Z117" s="21">
        <f t="shared" si="19"/>
        <v>2.8450551889097456E-2</v>
      </c>
      <c r="AA117" s="21">
        <f t="shared" si="10"/>
        <v>2.3470284297591811E-3</v>
      </c>
      <c r="AB117" s="21">
        <f t="shared" si="11"/>
        <v>3.4969489178222278E-6</v>
      </c>
      <c r="AC117" s="21">
        <f t="shared" si="15"/>
        <v>2.3505253786770034E-3</v>
      </c>
      <c r="AD117" s="21" t="s">
        <v>350</v>
      </c>
      <c r="AF117" s="21" t="s">
        <v>364</v>
      </c>
    </row>
    <row r="118" spans="1:32" s="21" customFormat="1" ht="15.75" x14ac:dyDescent="0.2">
      <c r="A118" s="21">
        <v>117</v>
      </c>
      <c r="B118" s="21">
        <v>6</v>
      </c>
      <c r="C118" s="21" t="s">
        <v>347</v>
      </c>
      <c r="D118" s="21" t="s">
        <v>367</v>
      </c>
      <c r="E118" s="21" t="s">
        <v>349</v>
      </c>
      <c r="F118" s="21" t="s">
        <v>333</v>
      </c>
      <c r="G118" s="21" t="s">
        <v>73</v>
      </c>
      <c r="H118" s="21" t="s">
        <v>360</v>
      </c>
      <c r="I118" s="21" t="s">
        <v>357</v>
      </c>
      <c r="J118" s="21">
        <v>6</v>
      </c>
      <c r="K118" s="21" t="s">
        <v>359</v>
      </c>
      <c r="L118" s="21">
        <v>3</v>
      </c>
      <c r="M118" s="21">
        <v>1.7182200000000001</v>
      </c>
      <c r="N118" s="21">
        <v>0.13414000000000015</v>
      </c>
      <c r="O118" s="21">
        <f t="shared" si="18"/>
        <v>0.23233729532728944</v>
      </c>
      <c r="P118" s="21">
        <v>3</v>
      </c>
      <c r="Q118" s="21">
        <v>1.9037299999999999</v>
      </c>
      <c r="R118" s="21">
        <v>3.5600000000000076E-3</v>
      </c>
      <c r="S118" s="21">
        <f t="shared" si="13"/>
        <v>6.166100874945216E-3</v>
      </c>
      <c r="T118" s="21">
        <v>3</v>
      </c>
      <c r="U118" s="21" t="s">
        <v>353</v>
      </c>
      <c r="V118" s="21">
        <v>10000</v>
      </c>
      <c r="W118" s="21">
        <f t="shared" si="17"/>
        <v>10000</v>
      </c>
      <c r="X118" s="21" t="str">
        <f t="shared" si="14"/>
        <v>High</v>
      </c>
      <c r="Y118" s="21" t="s">
        <v>366</v>
      </c>
      <c r="Z118" s="21">
        <f t="shared" si="19"/>
        <v>-0.10252624834842204</v>
      </c>
      <c r="AA118" s="21">
        <f t="shared" si="10"/>
        <v>6.0947944614316869E-3</v>
      </c>
      <c r="AB118" s="21">
        <f t="shared" si="11"/>
        <v>3.4969489178222278E-6</v>
      </c>
      <c r="AC118" s="21">
        <f t="shared" si="15"/>
        <v>6.0982914103495092E-3</v>
      </c>
      <c r="AD118" s="21" t="s">
        <v>350</v>
      </c>
      <c r="AF118" s="21" t="s">
        <v>364</v>
      </c>
    </row>
    <row r="119" spans="1:32" s="21" customFormat="1" ht="15.75" x14ac:dyDescent="0.2">
      <c r="A119" s="21">
        <v>118</v>
      </c>
      <c r="B119" s="21">
        <v>6</v>
      </c>
      <c r="C119" s="21" t="s">
        <v>347</v>
      </c>
      <c r="D119" s="21" t="s">
        <v>367</v>
      </c>
      <c r="E119" s="21" t="s">
        <v>349</v>
      </c>
      <c r="F119" s="21" t="s">
        <v>333</v>
      </c>
      <c r="G119" s="21" t="s">
        <v>73</v>
      </c>
      <c r="H119" s="21" t="s">
        <v>360</v>
      </c>
      <c r="I119" s="21" t="s">
        <v>357</v>
      </c>
      <c r="J119" s="21">
        <v>6</v>
      </c>
      <c r="K119" s="21" t="s">
        <v>359</v>
      </c>
      <c r="L119" s="21">
        <v>3</v>
      </c>
      <c r="M119" s="21">
        <v>1.9158599999999999</v>
      </c>
      <c r="N119" s="21">
        <v>2.7830000000000021E-2</v>
      </c>
      <c r="O119" s="21">
        <f t="shared" si="18"/>
        <v>4.8202973974641891E-2</v>
      </c>
      <c r="P119" s="21">
        <v>3</v>
      </c>
      <c r="Q119" s="21">
        <v>1.9037299999999999</v>
      </c>
      <c r="R119" s="21">
        <v>3.5600000000000076E-3</v>
      </c>
      <c r="S119" s="21">
        <f t="shared" si="13"/>
        <v>6.166100874945216E-3</v>
      </c>
      <c r="T119" s="21">
        <v>3</v>
      </c>
      <c r="U119" s="21" t="s">
        <v>354</v>
      </c>
      <c r="V119" s="21">
        <v>100000</v>
      </c>
      <c r="W119" s="21">
        <f t="shared" si="17"/>
        <v>100000</v>
      </c>
      <c r="X119" s="21" t="str">
        <f t="shared" si="14"/>
        <v>High</v>
      </c>
      <c r="Y119" s="21" t="s">
        <v>366</v>
      </c>
      <c r="Z119" s="21">
        <f t="shared" si="19"/>
        <v>6.3514883945183856E-3</v>
      </c>
      <c r="AA119" s="21">
        <f t="shared" si="10"/>
        <v>2.1100797629438706E-4</v>
      </c>
      <c r="AB119" s="21">
        <f t="shared" si="11"/>
        <v>3.4969489178222278E-6</v>
      </c>
      <c r="AC119" s="21">
        <f t="shared" si="15"/>
        <v>2.1450492521220927E-4</v>
      </c>
      <c r="AD119" s="21" t="s">
        <v>350</v>
      </c>
      <c r="AF119" s="21" t="s">
        <v>364</v>
      </c>
    </row>
    <row r="120" spans="1:32" s="21" customFormat="1" ht="15.75" x14ac:dyDescent="0.2">
      <c r="A120" s="21">
        <v>119</v>
      </c>
      <c r="B120" s="21">
        <v>6</v>
      </c>
      <c r="C120" s="21" t="s">
        <v>347</v>
      </c>
      <c r="D120" s="21" t="s">
        <v>367</v>
      </c>
      <c r="E120" s="21" t="s">
        <v>349</v>
      </c>
      <c r="F120" s="21" t="s">
        <v>333</v>
      </c>
      <c r="G120" s="21" t="s">
        <v>363</v>
      </c>
      <c r="H120" s="21" t="s">
        <v>360</v>
      </c>
      <c r="I120" s="21" t="s">
        <v>357</v>
      </c>
      <c r="J120" s="21">
        <v>6</v>
      </c>
      <c r="K120" s="21" t="s">
        <v>359</v>
      </c>
      <c r="L120" s="21">
        <v>3</v>
      </c>
      <c r="M120" s="21">
        <v>1.7233000000000001</v>
      </c>
      <c r="N120" s="21">
        <v>0.10149000000000008</v>
      </c>
      <c r="O120" s="21">
        <f t="shared" si="18"/>
        <v>0.17578583646016549</v>
      </c>
      <c r="P120" s="21">
        <v>3</v>
      </c>
      <c r="Q120" s="21">
        <v>2.0173299999999998</v>
      </c>
      <c r="R120" s="21">
        <v>0.12387999999999977</v>
      </c>
      <c r="S120" s="21">
        <f t="shared" si="13"/>
        <v>0.2145664540416321</v>
      </c>
      <c r="T120" s="21">
        <v>3</v>
      </c>
      <c r="U120" s="21" t="s">
        <v>352</v>
      </c>
      <c r="V120" s="21">
        <v>100</v>
      </c>
      <c r="W120" s="21">
        <f t="shared" si="17"/>
        <v>100</v>
      </c>
      <c r="X120" s="21" t="str">
        <f t="shared" si="14"/>
        <v>High</v>
      </c>
      <c r="Y120" s="21" t="s">
        <v>366</v>
      </c>
      <c r="Z120" s="21">
        <f t="shared" si="19"/>
        <v>-0.15753379760490849</v>
      </c>
      <c r="AA120" s="21">
        <f t="shared" si="10"/>
        <v>3.4683644726936484E-3</v>
      </c>
      <c r="AB120" s="21">
        <f t="shared" si="11"/>
        <v>3.7709302489522321E-3</v>
      </c>
      <c r="AC120" s="21">
        <f t="shared" si="15"/>
        <v>7.2392947216458805E-3</v>
      </c>
      <c r="AD120" s="21" t="s">
        <v>350</v>
      </c>
      <c r="AF120" s="21" t="s">
        <v>364</v>
      </c>
    </row>
    <row r="121" spans="1:32" s="21" customFormat="1" ht="15.75" x14ac:dyDescent="0.2">
      <c r="A121" s="21">
        <v>120</v>
      </c>
      <c r="B121" s="21">
        <v>6</v>
      </c>
      <c r="C121" s="21" t="s">
        <v>347</v>
      </c>
      <c r="D121" s="21" t="s">
        <v>367</v>
      </c>
      <c r="E121" s="21" t="s">
        <v>349</v>
      </c>
      <c r="F121" s="21" t="s">
        <v>333</v>
      </c>
      <c r="G121" s="21" t="s">
        <v>363</v>
      </c>
      <c r="H121" s="21" t="s">
        <v>360</v>
      </c>
      <c r="I121" s="21" t="s">
        <v>357</v>
      </c>
      <c r="J121" s="21">
        <v>6</v>
      </c>
      <c r="K121" s="21" t="s">
        <v>359</v>
      </c>
      <c r="L121" s="21">
        <v>3</v>
      </c>
      <c r="M121" s="21">
        <v>1.8442000000000001</v>
      </c>
      <c r="N121" s="21">
        <v>0.15373000000000014</v>
      </c>
      <c r="O121" s="21">
        <f t="shared" si="18"/>
        <v>0.26626817064756375</v>
      </c>
      <c r="P121" s="21">
        <v>3</v>
      </c>
      <c r="Q121" s="21">
        <v>2.0173299999999998</v>
      </c>
      <c r="R121" s="21">
        <v>0.12387999999999977</v>
      </c>
      <c r="S121" s="21">
        <f t="shared" si="13"/>
        <v>0.2145664540416321</v>
      </c>
      <c r="T121" s="21">
        <v>3</v>
      </c>
      <c r="U121" s="21" t="s">
        <v>353</v>
      </c>
      <c r="V121" s="21">
        <v>10000</v>
      </c>
      <c r="W121" s="21">
        <f t="shared" si="17"/>
        <v>10000</v>
      </c>
      <c r="X121" s="21" t="str">
        <f t="shared" si="14"/>
        <v>High</v>
      </c>
      <c r="Y121" s="21" t="s">
        <v>366</v>
      </c>
      <c r="Z121" s="21">
        <f t="shared" si="19"/>
        <v>-8.9729275787398977E-2</v>
      </c>
      <c r="AA121" s="21">
        <f t="shared" si="10"/>
        <v>6.9486625111710434E-3</v>
      </c>
      <c r="AB121" s="21">
        <f t="shared" si="11"/>
        <v>3.7709302489522321E-3</v>
      </c>
      <c r="AC121" s="21">
        <f t="shared" si="15"/>
        <v>1.0719592760123275E-2</v>
      </c>
      <c r="AD121" s="21" t="s">
        <v>350</v>
      </c>
      <c r="AF121" s="21" t="s">
        <v>364</v>
      </c>
    </row>
    <row r="122" spans="1:32" s="21" customFormat="1" ht="15.75" x14ac:dyDescent="0.2">
      <c r="A122" s="21">
        <v>121</v>
      </c>
      <c r="B122" s="21">
        <v>6</v>
      </c>
      <c r="C122" s="21" t="s">
        <v>347</v>
      </c>
      <c r="D122" s="21" t="s">
        <v>367</v>
      </c>
      <c r="E122" s="21" t="s">
        <v>349</v>
      </c>
      <c r="F122" s="21" t="s">
        <v>333</v>
      </c>
      <c r="G122" s="21" t="s">
        <v>363</v>
      </c>
      <c r="H122" s="21" t="s">
        <v>360</v>
      </c>
      <c r="I122" s="21" t="s">
        <v>357</v>
      </c>
      <c r="J122" s="21">
        <v>6</v>
      </c>
      <c r="K122" s="21" t="s">
        <v>359</v>
      </c>
      <c r="L122" s="21">
        <v>3</v>
      </c>
      <c r="M122" s="21">
        <v>1.9317599999999999</v>
      </c>
      <c r="N122" s="21">
        <v>8.2580000000000098E-2</v>
      </c>
      <c r="O122" s="21">
        <f t="shared" si="18"/>
        <v>0.14303275568903806</v>
      </c>
      <c r="P122" s="21">
        <v>3</v>
      </c>
      <c r="Q122" s="21">
        <v>2.0173299999999998</v>
      </c>
      <c r="R122" s="21">
        <v>0.12387999999999977</v>
      </c>
      <c r="S122" s="21">
        <f t="shared" si="13"/>
        <v>0.2145664540416321</v>
      </c>
      <c r="T122" s="21">
        <v>3</v>
      </c>
      <c r="U122" s="21" t="s">
        <v>354</v>
      </c>
      <c r="V122" s="21">
        <v>100000</v>
      </c>
      <c r="W122" s="21">
        <f t="shared" si="17"/>
        <v>100000</v>
      </c>
      <c r="X122" s="21" t="str">
        <f t="shared" si="14"/>
        <v>High</v>
      </c>
      <c r="Y122" s="21" t="s">
        <v>366</v>
      </c>
      <c r="Z122" s="21">
        <f t="shared" si="19"/>
        <v>-4.3343350438851833E-2</v>
      </c>
      <c r="AA122" s="21">
        <f t="shared" si="10"/>
        <v>1.8274412291829278E-3</v>
      </c>
      <c r="AB122" s="21">
        <f t="shared" si="11"/>
        <v>3.7709302489522321E-3</v>
      </c>
      <c r="AC122" s="21">
        <f t="shared" si="15"/>
        <v>5.5983714781351595E-3</v>
      </c>
      <c r="AD122" s="21" t="s">
        <v>350</v>
      </c>
      <c r="AF122" s="21" t="s">
        <v>364</v>
      </c>
    </row>
    <row r="123" spans="1:32" s="21" customFormat="1" ht="15.75" x14ac:dyDescent="0.2">
      <c r="A123" s="21">
        <v>122</v>
      </c>
      <c r="B123" s="21">
        <v>6</v>
      </c>
      <c r="C123" s="21" t="s">
        <v>347</v>
      </c>
      <c r="D123" s="21" t="s">
        <v>367</v>
      </c>
      <c r="E123" s="21" t="s">
        <v>349</v>
      </c>
      <c r="F123" s="21" t="s">
        <v>333</v>
      </c>
      <c r="G123" s="21" t="s">
        <v>73</v>
      </c>
      <c r="H123" s="21" t="s">
        <v>360</v>
      </c>
      <c r="I123" s="21" t="s">
        <v>357</v>
      </c>
      <c r="J123" s="21">
        <v>6</v>
      </c>
      <c r="K123" s="21" t="s">
        <v>359</v>
      </c>
      <c r="L123" s="21">
        <v>3</v>
      </c>
      <c r="M123" s="21">
        <v>0.72738000000000003</v>
      </c>
      <c r="N123" s="21">
        <v>2.8749999999999942E-2</v>
      </c>
      <c r="O123" s="21">
        <f t="shared" si="18"/>
        <v>4.9796460717605122E-2</v>
      </c>
      <c r="P123" s="21">
        <v>3</v>
      </c>
      <c r="Q123" s="21">
        <v>0.71877999999999997</v>
      </c>
      <c r="R123" s="21">
        <v>3.6199999999999566E-3</v>
      </c>
      <c r="S123" s="21">
        <f t="shared" si="13"/>
        <v>6.2700239233992603E-3</v>
      </c>
      <c r="T123" s="21">
        <v>3</v>
      </c>
      <c r="U123" s="21" t="s">
        <v>352</v>
      </c>
      <c r="V123" s="21">
        <v>100</v>
      </c>
      <c r="W123" s="21">
        <f t="shared" si="17"/>
        <v>100</v>
      </c>
      <c r="X123" s="21" t="str">
        <f t="shared" si="14"/>
        <v>High</v>
      </c>
      <c r="Y123" s="21" t="s">
        <v>366</v>
      </c>
      <c r="Z123" s="21">
        <f t="shared" si="19"/>
        <v>1.1893706615605295E-2</v>
      </c>
      <c r="AA123" s="21">
        <f t="shared" si="10"/>
        <v>1.5622588262198653E-3</v>
      </c>
      <c r="AB123" s="21">
        <f t="shared" si="11"/>
        <v>2.536443380572203E-5</v>
      </c>
      <c r="AC123" s="21">
        <f t="shared" si="15"/>
        <v>1.5876232600255872E-3</v>
      </c>
      <c r="AD123" s="21" t="s">
        <v>350</v>
      </c>
      <c r="AF123" s="21" t="s">
        <v>368</v>
      </c>
    </row>
    <row r="124" spans="1:32" s="21" customFormat="1" ht="15.75" x14ac:dyDescent="0.2">
      <c r="A124" s="21">
        <v>123</v>
      </c>
      <c r="B124" s="21">
        <v>6</v>
      </c>
      <c r="C124" s="21" t="s">
        <v>347</v>
      </c>
      <c r="D124" s="21" t="s">
        <v>367</v>
      </c>
      <c r="E124" s="21" t="s">
        <v>349</v>
      </c>
      <c r="F124" s="21" t="s">
        <v>333</v>
      </c>
      <c r="G124" s="21" t="s">
        <v>73</v>
      </c>
      <c r="H124" s="21" t="s">
        <v>360</v>
      </c>
      <c r="I124" s="21" t="s">
        <v>357</v>
      </c>
      <c r="J124" s="21">
        <v>6</v>
      </c>
      <c r="K124" s="21" t="s">
        <v>359</v>
      </c>
      <c r="L124" s="21">
        <v>3</v>
      </c>
      <c r="M124" s="21">
        <v>0.66986999999999997</v>
      </c>
      <c r="N124" s="21">
        <v>2.8760000000000008E-2</v>
      </c>
      <c r="O124" s="21">
        <f t="shared" si="18"/>
        <v>4.981378122568092E-2</v>
      </c>
      <c r="P124" s="21">
        <v>3</v>
      </c>
      <c r="Q124" s="21">
        <v>0.71877999999999997</v>
      </c>
      <c r="R124" s="21">
        <v>3.6199999999999566E-3</v>
      </c>
      <c r="S124" s="21">
        <f t="shared" si="13"/>
        <v>6.2700239233992603E-3</v>
      </c>
      <c r="T124" s="21">
        <v>3</v>
      </c>
      <c r="U124" s="21" t="s">
        <v>353</v>
      </c>
      <c r="V124" s="21">
        <v>10000</v>
      </c>
      <c r="W124" s="21">
        <f t="shared" si="17"/>
        <v>10000</v>
      </c>
      <c r="X124" s="21" t="str">
        <f t="shared" si="14"/>
        <v>High</v>
      </c>
      <c r="Y124" s="21" t="s">
        <v>366</v>
      </c>
      <c r="Z124" s="21">
        <f t="shared" si="19"/>
        <v>-7.0471666662903068E-2</v>
      </c>
      <c r="AA124" s="21">
        <f t="shared" si="10"/>
        <v>1.8433029008989037E-3</v>
      </c>
      <c r="AB124" s="21">
        <f t="shared" si="11"/>
        <v>2.536443380572203E-5</v>
      </c>
      <c r="AC124" s="21">
        <f t="shared" si="15"/>
        <v>1.8686673347046256E-3</v>
      </c>
      <c r="AD124" s="21" t="s">
        <v>350</v>
      </c>
      <c r="AF124" s="21" t="s">
        <v>368</v>
      </c>
    </row>
    <row r="125" spans="1:32" s="21" customFormat="1" ht="15.75" x14ac:dyDescent="0.2">
      <c r="A125" s="21">
        <v>124</v>
      </c>
      <c r="B125" s="21">
        <v>6</v>
      </c>
      <c r="C125" s="21" t="s">
        <v>347</v>
      </c>
      <c r="D125" s="21" t="s">
        <v>367</v>
      </c>
      <c r="E125" s="21" t="s">
        <v>349</v>
      </c>
      <c r="F125" s="21" t="s">
        <v>333</v>
      </c>
      <c r="G125" s="21" t="s">
        <v>73</v>
      </c>
      <c r="H125" s="21" t="s">
        <v>360</v>
      </c>
      <c r="I125" s="21" t="s">
        <v>357</v>
      </c>
      <c r="J125" s="21">
        <v>6</v>
      </c>
      <c r="K125" s="21" t="s">
        <v>359</v>
      </c>
      <c r="L125" s="21">
        <v>3</v>
      </c>
      <c r="M125" s="21">
        <v>0.72489000000000003</v>
      </c>
      <c r="N125" s="21">
        <v>6.3400000000000123E-3</v>
      </c>
      <c r="O125" s="21">
        <f t="shared" si="18"/>
        <v>1.0981202119986704E-2</v>
      </c>
      <c r="P125" s="21">
        <v>3</v>
      </c>
      <c r="Q125" s="21">
        <v>0.71877999999999997</v>
      </c>
      <c r="R125" s="21">
        <v>3.6199999999999566E-3</v>
      </c>
      <c r="S125" s="21">
        <f t="shared" si="13"/>
        <v>6.2700239233992603E-3</v>
      </c>
      <c r="T125" s="21">
        <v>3</v>
      </c>
      <c r="U125" s="21" t="s">
        <v>354</v>
      </c>
      <c r="V125" s="21">
        <v>100000</v>
      </c>
      <c r="W125" s="21">
        <f t="shared" si="17"/>
        <v>100000</v>
      </c>
      <c r="X125" s="21" t="str">
        <f t="shared" si="14"/>
        <v>High</v>
      </c>
      <c r="Y125" s="21" t="s">
        <v>366</v>
      </c>
      <c r="Z125" s="21">
        <f t="shared" si="19"/>
        <v>8.4645888345306394E-3</v>
      </c>
      <c r="AA125" s="21">
        <f t="shared" si="10"/>
        <v>7.6495220094198365E-5</v>
      </c>
      <c r="AB125" s="21">
        <f t="shared" si="11"/>
        <v>2.536443380572203E-5</v>
      </c>
      <c r="AC125" s="21">
        <f t="shared" si="15"/>
        <v>1.0185965389992039E-4</v>
      </c>
      <c r="AD125" s="21" t="s">
        <v>350</v>
      </c>
      <c r="AF125" s="21" t="s">
        <v>368</v>
      </c>
    </row>
    <row r="126" spans="1:32" s="21" customFormat="1" ht="15.75" x14ac:dyDescent="0.2">
      <c r="A126" s="21">
        <v>125</v>
      </c>
      <c r="B126" s="21">
        <v>6</v>
      </c>
      <c r="C126" s="21" t="s">
        <v>347</v>
      </c>
      <c r="D126" s="21" t="s">
        <v>367</v>
      </c>
      <c r="E126" s="21" t="s">
        <v>349</v>
      </c>
      <c r="F126" s="21" t="s">
        <v>333</v>
      </c>
      <c r="G126" s="21" t="s">
        <v>363</v>
      </c>
      <c r="H126" s="21" t="s">
        <v>360</v>
      </c>
      <c r="I126" s="21" t="s">
        <v>357</v>
      </c>
      <c r="J126" s="21">
        <v>6</v>
      </c>
      <c r="K126" s="21" t="s">
        <v>359</v>
      </c>
      <c r="L126" s="21">
        <v>3</v>
      </c>
      <c r="M126" s="21">
        <v>0.70301999999999998</v>
      </c>
      <c r="N126" s="21">
        <v>4.6130000000000004E-2</v>
      </c>
      <c r="O126" s="21">
        <f t="shared" si="18"/>
        <v>7.9899503753152315E-2</v>
      </c>
      <c r="P126" s="21">
        <v>3</v>
      </c>
      <c r="Q126" s="21">
        <v>0.82645000000000002</v>
      </c>
      <c r="R126" s="21">
        <v>7.8569999999999918E-2</v>
      </c>
      <c r="S126" s="21">
        <f t="shared" si="13"/>
        <v>0.13608723195068653</v>
      </c>
      <c r="T126" s="21">
        <v>3</v>
      </c>
      <c r="U126" s="21" t="s">
        <v>352</v>
      </c>
      <c r="V126" s="21">
        <v>100</v>
      </c>
      <c r="W126" s="21">
        <f t="shared" si="17"/>
        <v>100</v>
      </c>
      <c r="X126" s="21" t="str">
        <f t="shared" si="14"/>
        <v>High</v>
      </c>
      <c r="Y126" s="21" t="s">
        <v>366</v>
      </c>
      <c r="Z126" s="21">
        <f t="shared" si="19"/>
        <v>-0.16175407845524323</v>
      </c>
      <c r="AA126" s="21">
        <f t="shared" si="10"/>
        <v>4.3055788652171028E-3</v>
      </c>
      <c r="AB126" s="21">
        <f t="shared" si="11"/>
        <v>9.0381665144083252E-3</v>
      </c>
      <c r="AC126" s="21">
        <f t="shared" si="15"/>
        <v>1.3343745379625429E-2</v>
      </c>
      <c r="AD126" s="21" t="s">
        <v>350</v>
      </c>
      <c r="AF126" s="21" t="s">
        <v>368</v>
      </c>
    </row>
    <row r="127" spans="1:32" s="21" customFormat="1" ht="15.75" x14ac:dyDescent="0.2">
      <c r="A127" s="21">
        <v>126</v>
      </c>
      <c r="B127" s="21">
        <v>6</v>
      </c>
      <c r="C127" s="21" t="s">
        <v>347</v>
      </c>
      <c r="D127" s="21" t="s">
        <v>367</v>
      </c>
      <c r="E127" s="21" t="s">
        <v>349</v>
      </c>
      <c r="F127" s="21" t="s">
        <v>333</v>
      </c>
      <c r="G127" s="21" t="s">
        <v>363</v>
      </c>
      <c r="H127" s="21" t="s">
        <v>360</v>
      </c>
      <c r="I127" s="21" t="s">
        <v>357</v>
      </c>
      <c r="J127" s="21">
        <v>6</v>
      </c>
      <c r="K127" s="21" t="s">
        <v>359</v>
      </c>
      <c r="L127" s="21">
        <v>3</v>
      </c>
      <c r="M127" s="21">
        <v>0.69743999999999995</v>
      </c>
      <c r="N127" s="21">
        <v>0.10924</v>
      </c>
      <c r="O127" s="21">
        <f t="shared" si="18"/>
        <v>0.18920923021882416</v>
      </c>
      <c r="P127" s="21">
        <v>3</v>
      </c>
      <c r="Q127" s="21">
        <v>0.82645000000000002</v>
      </c>
      <c r="R127" s="21">
        <v>7.8569999999999918E-2</v>
      </c>
      <c r="S127" s="21">
        <f t="shared" si="13"/>
        <v>0.13608723195068653</v>
      </c>
      <c r="T127" s="21">
        <v>3</v>
      </c>
      <c r="U127" s="21" t="s">
        <v>353</v>
      </c>
      <c r="V127" s="21">
        <v>10000</v>
      </c>
      <c r="W127" s="21">
        <f t="shared" si="17"/>
        <v>10000</v>
      </c>
      <c r="X127" s="21" t="str">
        <f t="shared" si="14"/>
        <v>High</v>
      </c>
      <c r="Y127" s="21" t="s">
        <v>366</v>
      </c>
      <c r="Z127" s="21">
        <f t="shared" si="19"/>
        <v>-0.16972293087327997</v>
      </c>
      <c r="AA127" s="21">
        <f t="shared" si="10"/>
        <v>2.4532944682933391E-2</v>
      </c>
      <c r="AB127" s="21">
        <f t="shared" si="11"/>
        <v>9.0381665144083252E-3</v>
      </c>
      <c r="AC127" s="21">
        <f t="shared" si="15"/>
        <v>3.3571111197341713E-2</v>
      </c>
      <c r="AD127" s="21" t="s">
        <v>350</v>
      </c>
      <c r="AF127" s="21" t="s">
        <v>368</v>
      </c>
    </row>
    <row r="128" spans="1:32" s="21" customFormat="1" ht="15.75" x14ac:dyDescent="0.2">
      <c r="A128" s="21">
        <v>127</v>
      </c>
      <c r="B128" s="21">
        <v>6</v>
      </c>
      <c r="C128" s="21" t="s">
        <v>347</v>
      </c>
      <c r="D128" s="21" t="s">
        <v>367</v>
      </c>
      <c r="E128" s="21" t="s">
        <v>349</v>
      </c>
      <c r="F128" s="21" t="s">
        <v>333</v>
      </c>
      <c r="G128" s="21" t="s">
        <v>363</v>
      </c>
      <c r="H128" s="21" t="s">
        <v>360</v>
      </c>
      <c r="I128" s="21" t="s">
        <v>357</v>
      </c>
      <c r="J128" s="21">
        <v>6</v>
      </c>
      <c r="K128" s="21" t="s">
        <v>359</v>
      </c>
      <c r="L128" s="21">
        <v>3</v>
      </c>
      <c r="M128" s="21">
        <v>0.79832000000000003</v>
      </c>
      <c r="N128" s="21">
        <v>3.49799999999999E-2</v>
      </c>
      <c r="O128" s="21">
        <f t="shared" si="18"/>
        <v>6.0587137248759151E-2</v>
      </c>
      <c r="P128" s="21">
        <v>3</v>
      </c>
      <c r="Q128" s="21">
        <v>0.82645000000000002</v>
      </c>
      <c r="R128" s="21">
        <v>7.8569999999999918E-2</v>
      </c>
      <c r="S128" s="21">
        <f t="shared" si="13"/>
        <v>0.13608723195068653</v>
      </c>
      <c r="T128" s="21">
        <v>3</v>
      </c>
      <c r="U128" s="21" t="s">
        <v>354</v>
      </c>
      <c r="V128" s="21">
        <v>100000</v>
      </c>
      <c r="W128" s="21">
        <f t="shared" si="17"/>
        <v>100000</v>
      </c>
      <c r="X128" s="21" t="str">
        <f t="shared" si="14"/>
        <v>High</v>
      </c>
      <c r="Y128" s="21" t="s">
        <v>366</v>
      </c>
      <c r="Z128" s="21">
        <f t="shared" si="19"/>
        <v>-3.4629899787305227E-2</v>
      </c>
      <c r="AA128" s="21">
        <f t="shared" si="10"/>
        <v>1.9199308677494097E-3</v>
      </c>
      <c r="AB128" s="21">
        <f t="shared" si="11"/>
        <v>9.0381665144083252E-3</v>
      </c>
      <c r="AC128" s="21">
        <f t="shared" si="15"/>
        <v>1.0958097382157734E-2</v>
      </c>
      <c r="AD128" s="21" t="s">
        <v>350</v>
      </c>
      <c r="AF128" s="21" t="s">
        <v>368</v>
      </c>
    </row>
    <row r="129" spans="1:33" s="28" customFormat="1" ht="15.75" x14ac:dyDescent="0.2">
      <c r="A129" s="28">
        <v>128</v>
      </c>
      <c r="B129" s="28">
        <v>7</v>
      </c>
      <c r="C129" s="28" t="s">
        <v>407</v>
      </c>
      <c r="D129" s="28" t="s">
        <v>408</v>
      </c>
      <c r="E129" s="28" t="s">
        <v>417</v>
      </c>
      <c r="F129" s="28" t="s">
        <v>133</v>
      </c>
      <c r="G129" s="28" t="s">
        <v>168</v>
      </c>
      <c r="H129" s="28" t="s">
        <v>413</v>
      </c>
      <c r="I129" s="28" t="s">
        <v>356</v>
      </c>
      <c r="J129" s="28">
        <v>7</v>
      </c>
      <c r="K129" s="28" t="s">
        <v>418</v>
      </c>
      <c r="L129" s="28">
        <v>10</v>
      </c>
      <c r="M129" s="28">
        <v>3666.5303199999998</v>
      </c>
      <c r="N129" s="28">
        <v>378.09529999999995</v>
      </c>
      <c r="O129" s="28">
        <f t="shared" si="18"/>
        <v>1195.6423206046613</v>
      </c>
      <c r="P129" s="28">
        <v>10</v>
      </c>
      <c r="Q129" s="28">
        <v>3059.1209100000001</v>
      </c>
      <c r="R129" s="28">
        <v>88.722720000000209</v>
      </c>
      <c r="S129" s="28">
        <f t="shared" si="13"/>
        <v>280.56587540537492</v>
      </c>
      <c r="T129" s="28">
        <v>10</v>
      </c>
      <c r="U129" s="28" t="s">
        <v>419</v>
      </c>
      <c r="V129" s="28">
        <v>50</v>
      </c>
      <c r="W129" s="28">
        <f>(V129/1000)*1000</f>
        <v>50</v>
      </c>
      <c r="X129" s="28" t="str">
        <f t="shared" si="14"/>
        <v>High</v>
      </c>
      <c r="Y129" s="28" t="s">
        <v>420</v>
      </c>
      <c r="Z129" s="28">
        <f t="shared" si="19"/>
        <v>0.18111820760779876</v>
      </c>
      <c r="AA129" s="28">
        <f t="shared" si="10"/>
        <v>1.063388590266766E-2</v>
      </c>
      <c r="AB129" s="28">
        <f t="shared" si="11"/>
        <v>8.4115573475100278E-4</v>
      </c>
      <c r="AC129" s="28">
        <f t="shared" si="15"/>
        <v>1.1475041637418663E-2</v>
      </c>
      <c r="AD129" s="28" t="s">
        <v>421</v>
      </c>
      <c r="AF129" s="28" t="s">
        <v>422</v>
      </c>
    </row>
    <row r="130" spans="1:33" s="28" customFormat="1" ht="15.75" x14ac:dyDescent="0.2">
      <c r="A130" s="28">
        <v>129</v>
      </c>
      <c r="B130" s="28">
        <v>7</v>
      </c>
      <c r="C130" s="28" t="s">
        <v>407</v>
      </c>
      <c r="D130" s="28" t="s">
        <v>408</v>
      </c>
      <c r="E130" s="28" t="s">
        <v>417</v>
      </c>
      <c r="F130" s="28" t="s">
        <v>133</v>
      </c>
      <c r="G130" s="28" t="s">
        <v>168</v>
      </c>
      <c r="H130" s="28" t="s">
        <v>413</v>
      </c>
      <c r="I130" s="28" t="s">
        <v>356</v>
      </c>
      <c r="J130" s="28">
        <v>7</v>
      </c>
      <c r="K130" s="28" t="s">
        <v>418</v>
      </c>
      <c r="L130" s="28">
        <v>10</v>
      </c>
      <c r="M130" s="28">
        <v>972.10085000000004</v>
      </c>
      <c r="N130" s="28">
        <v>355.48753999999985</v>
      </c>
      <c r="O130" s="28">
        <f t="shared" si="18"/>
        <v>1124.1503062102126</v>
      </c>
      <c r="P130" s="28">
        <v>10</v>
      </c>
      <c r="Q130" s="28">
        <v>582.60458000000006</v>
      </c>
      <c r="R130" s="28">
        <v>57.109010000000012</v>
      </c>
      <c r="S130" s="28">
        <f t="shared" si="13"/>
        <v>180.59454651733262</v>
      </c>
      <c r="T130" s="28">
        <v>10</v>
      </c>
      <c r="U130" s="28" t="s">
        <v>419</v>
      </c>
      <c r="V130" s="28">
        <v>50</v>
      </c>
      <c r="W130" s="28">
        <f>(V130/1000)*1000</f>
        <v>50</v>
      </c>
      <c r="X130" s="28" t="str">
        <f t="shared" si="14"/>
        <v>High</v>
      </c>
      <c r="Y130" s="28" t="s">
        <v>420</v>
      </c>
      <c r="Z130" s="28">
        <f t="shared" si="19"/>
        <v>0.51195084841648208</v>
      </c>
      <c r="AA130" s="28">
        <f t="shared" ref="AA130:AA193" si="20">(O130^2)/(L130*M130^2)</f>
        <v>0.13372916117560293</v>
      </c>
      <c r="AB130" s="28">
        <f t="shared" ref="AB130:AB193" si="21">(S130^2)/(P130*Q130^2)</f>
        <v>9.6086300913040216E-3</v>
      </c>
      <c r="AC130" s="28">
        <f t="shared" si="15"/>
        <v>0.14333779126690696</v>
      </c>
      <c r="AD130" s="28" t="s">
        <v>421</v>
      </c>
      <c r="AF130" s="28" t="s">
        <v>423</v>
      </c>
    </row>
    <row r="131" spans="1:33" s="29" customFormat="1" ht="15.75" x14ac:dyDescent="0.2">
      <c r="A131" s="29">
        <v>130</v>
      </c>
      <c r="B131" s="29">
        <v>8</v>
      </c>
      <c r="C131" s="29" t="s">
        <v>437</v>
      </c>
      <c r="D131" s="29" t="s">
        <v>438</v>
      </c>
      <c r="E131" s="29" t="s">
        <v>439</v>
      </c>
      <c r="F131" s="29" t="s">
        <v>133</v>
      </c>
      <c r="G131" s="29" t="s">
        <v>168</v>
      </c>
      <c r="H131" s="29" t="s">
        <v>167</v>
      </c>
      <c r="I131" s="29" t="s">
        <v>356</v>
      </c>
      <c r="J131" s="29">
        <v>8</v>
      </c>
      <c r="K131" s="29" t="s">
        <v>440</v>
      </c>
      <c r="L131" s="29">
        <v>3</v>
      </c>
      <c r="M131" s="29">
        <v>109.35777</v>
      </c>
      <c r="O131" s="29">
        <v>13.79589</v>
      </c>
      <c r="P131" s="29">
        <v>3</v>
      </c>
      <c r="Q131" s="29">
        <v>56.407800000000002</v>
      </c>
      <c r="S131" s="29">
        <v>55.840529999999994</v>
      </c>
      <c r="T131" s="29">
        <v>3</v>
      </c>
      <c r="U131" s="29" t="s">
        <v>441</v>
      </c>
      <c r="V131" s="29">
        <v>3</v>
      </c>
      <c r="W131" s="29">
        <f t="shared" ref="W131:W136" si="22">V131 / 1000</f>
        <v>3.0000000000000001E-3</v>
      </c>
      <c r="X131" s="29" t="str">
        <f t="shared" ref="X131:X194" si="23">IF(W131&lt;=1, "Low", IF(W131&lt;10, "Medium", "High"))</f>
        <v>Low</v>
      </c>
      <c r="Y131" s="29" t="s">
        <v>442</v>
      </c>
      <c r="Z131" s="29">
        <f t="shared" ref="Z131:Z140" si="24">(LN(M131/Q131))*-1</f>
        <v>-0.6620173540257438</v>
      </c>
      <c r="AA131" s="29">
        <f t="shared" si="20"/>
        <v>5.3049207439070873E-3</v>
      </c>
      <c r="AB131" s="29">
        <f t="shared" si="21"/>
        <v>0.32666265304106068</v>
      </c>
      <c r="AC131" s="29">
        <f t="shared" ref="AC131:AC194" si="25">SUM(AA131,AB131)</f>
        <v>0.33196757378496777</v>
      </c>
      <c r="AD131" s="29" t="s">
        <v>443</v>
      </c>
      <c r="AF131" s="29" t="s">
        <v>190</v>
      </c>
    </row>
    <row r="132" spans="1:33" s="29" customFormat="1" ht="15.75" x14ac:dyDescent="0.2">
      <c r="A132" s="29">
        <v>131</v>
      </c>
      <c r="B132" s="29">
        <v>8</v>
      </c>
      <c r="C132" s="29" t="s">
        <v>437</v>
      </c>
      <c r="D132" s="29" t="s">
        <v>438</v>
      </c>
      <c r="E132" s="29" t="s">
        <v>439</v>
      </c>
      <c r="F132" s="29" t="s">
        <v>133</v>
      </c>
      <c r="G132" s="29" t="s">
        <v>168</v>
      </c>
      <c r="H132" s="29" t="s">
        <v>167</v>
      </c>
      <c r="I132" s="29" t="s">
        <v>356</v>
      </c>
      <c r="J132" s="29">
        <v>8</v>
      </c>
      <c r="K132" s="29" t="s">
        <v>440</v>
      </c>
      <c r="L132" s="29">
        <v>3</v>
      </c>
      <c r="M132" s="29">
        <v>100.68606</v>
      </c>
      <c r="O132" s="29">
        <v>23.255939999999995</v>
      </c>
      <c r="P132" s="29">
        <v>3</v>
      </c>
      <c r="Q132" s="29">
        <v>56.407800000000002</v>
      </c>
      <c r="S132" s="29">
        <v>55.840529999999994</v>
      </c>
      <c r="T132" s="29">
        <v>3</v>
      </c>
      <c r="U132" s="29" t="s">
        <v>441</v>
      </c>
      <c r="V132" s="29">
        <v>3</v>
      </c>
      <c r="W132" s="29">
        <f t="shared" si="22"/>
        <v>3.0000000000000001E-3</v>
      </c>
      <c r="X132" s="29" t="str">
        <f t="shared" si="23"/>
        <v>Low</v>
      </c>
      <c r="Y132" s="29" t="s">
        <v>442</v>
      </c>
      <c r="Z132" s="29">
        <f t="shared" si="24"/>
        <v>-0.57939991234486099</v>
      </c>
      <c r="AA132" s="29">
        <f t="shared" si="20"/>
        <v>1.7783115479307107E-2</v>
      </c>
      <c r="AB132" s="29">
        <f t="shared" si="21"/>
        <v>0.32666265304106068</v>
      </c>
      <c r="AC132" s="29">
        <f t="shared" si="25"/>
        <v>0.34444576852036779</v>
      </c>
      <c r="AD132" s="29" t="s">
        <v>212</v>
      </c>
      <c r="AF132" s="29" t="s">
        <v>190</v>
      </c>
    </row>
    <row r="133" spans="1:33" s="29" customFormat="1" ht="15.75" x14ac:dyDescent="0.2">
      <c r="A133" s="29">
        <v>132</v>
      </c>
      <c r="B133" s="29">
        <v>8</v>
      </c>
      <c r="C133" s="29" t="s">
        <v>437</v>
      </c>
      <c r="D133" s="29" t="s">
        <v>438</v>
      </c>
      <c r="E133" s="29" t="s">
        <v>439</v>
      </c>
      <c r="F133" s="29" t="s">
        <v>133</v>
      </c>
      <c r="G133" s="29" t="s">
        <v>168</v>
      </c>
      <c r="H133" s="29" t="s">
        <v>167</v>
      </c>
      <c r="I133" s="29" t="s">
        <v>356</v>
      </c>
      <c r="J133" s="29">
        <v>8</v>
      </c>
      <c r="K133" s="29" t="s">
        <v>440</v>
      </c>
      <c r="L133" s="29">
        <v>3</v>
      </c>
      <c r="M133" s="29">
        <v>136.94955999999999</v>
      </c>
      <c r="O133" s="29">
        <v>21.153710000000018</v>
      </c>
      <c r="P133" s="29">
        <v>3</v>
      </c>
      <c r="Q133" s="29">
        <v>56.407800000000002</v>
      </c>
      <c r="S133" s="29">
        <v>55.840529999999994</v>
      </c>
      <c r="T133" s="29">
        <v>3</v>
      </c>
      <c r="U133" s="29" t="s">
        <v>441</v>
      </c>
      <c r="V133" s="29">
        <v>3</v>
      </c>
      <c r="W133" s="29">
        <f t="shared" si="22"/>
        <v>3.0000000000000001E-3</v>
      </c>
      <c r="X133" s="29" t="str">
        <f t="shared" si="23"/>
        <v>Low</v>
      </c>
      <c r="Y133" s="29" t="s">
        <v>442</v>
      </c>
      <c r="Z133" s="29">
        <f t="shared" si="24"/>
        <v>-0.88700523603843573</v>
      </c>
      <c r="AA133" s="29">
        <f t="shared" si="20"/>
        <v>7.9529921764417838E-3</v>
      </c>
      <c r="AB133" s="29">
        <f t="shared" si="21"/>
        <v>0.32666265304106068</v>
      </c>
      <c r="AC133" s="29">
        <f t="shared" si="25"/>
        <v>0.33461564521750248</v>
      </c>
      <c r="AD133" s="29" t="s">
        <v>444</v>
      </c>
      <c r="AF133" s="29" t="s">
        <v>190</v>
      </c>
    </row>
    <row r="134" spans="1:33" s="29" customFormat="1" ht="15.75" x14ac:dyDescent="0.2">
      <c r="A134" s="29">
        <v>133</v>
      </c>
      <c r="B134" s="29">
        <v>8</v>
      </c>
      <c r="C134" s="29" t="s">
        <v>437</v>
      </c>
      <c r="D134" s="29" t="s">
        <v>438</v>
      </c>
      <c r="E134" s="29" t="s">
        <v>439</v>
      </c>
      <c r="F134" s="29" t="s">
        <v>133</v>
      </c>
      <c r="G134" s="29" t="s">
        <v>168</v>
      </c>
      <c r="H134" s="29" t="s">
        <v>167</v>
      </c>
      <c r="I134" s="29" t="s">
        <v>356</v>
      </c>
      <c r="J134" s="29">
        <v>8</v>
      </c>
      <c r="K134" s="29" t="s">
        <v>440</v>
      </c>
      <c r="L134" s="29">
        <v>3</v>
      </c>
      <c r="M134" s="29">
        <v>9.1281300000000005</v>
      </c>
      <c r="O134" s="29">
        <v>0.16751999999999967</v>
      </c>
      <c r="P134" s="29">
        <v>3</v>
      </c>
      <c r="Q134" s="29">
        <v>8.0934399999999993</v>
      </c>
      <c r="S134" s="29">
        <v>0.43358000000000096</v>
      </c>
      <c r="T134" s="29">
        <v>3</v>
      </c>
      <c r="U134" s="29" t="s">
        <v>441</v>
      </c>
      <c r="V134" s="29">
        <v>3</v>
      </c>
      <c r="W134" s="29">
        <f t="shared" si="22"/>
        <v>3.0000000000000001E-3</v>
      </c>
      <c r="X134" s="29" t="str">
        <f t="shared" si="23"/>
        <v>Low</v>
      </c>
      <c r="Y134" s="29" t="s">
        <v>442</v>
      </c>
      <c r="Z134" s="29">
        <f t="shared" si="24"/>
        <v>-0.12030699734343422</v>
      </c>
      <c r="AA134" s="29">
        <f t="shared" si="20"/>
        <v>1.1226604955796377E-4</v>
      </c>
      <c r="AB134" s="29">
        <f t="shared" si="21"/>
        <v>9.5664526094521108E-4</v>
      </c>
      <c r="AC134" s="29">
        <f t="shared" si="25"/>
        <v>1.0689113105031749E-3</v>
      </c>
      <c r="AD134" s="29" t="s">
        <v>443</v>
      </c>
      <c r="AF134" s="29" t="s">
        <v>436</v>
      </c>
    </row>
    <row r="135" spans="1:33" s="29" customFormat="1" ht="15.75" x14ac:dyDescent="0.2">
      <c r="A135" s="29">
        <v>134</v>
      </c>
      <c r="B135" s="29">
        <v>8</v>
      </c>
      <c r="C135" s="29" t="s">
        <v>437</v>
      </c>
      <c r="D135" s="29" t="s">
        <v>438</v>
      </c>
      <c r="E135" s="29" t="s">
        <v>439</v>
      </c>
      <c r="F135" s="29" t="s">
        <v>133</v>
      </c>
      <c r="G135" s="29" t="s">
        <v>168</v>
      </c>
      <c r="H135" s="29" t="s">
        <v>167</v>
      </c>
      <c r="I135" s="29" t="s">
        <v>356</v>
      </c>
      <c r="J135" s="29">
        <v>8</v>
      </c>
      <c r="K135" s="29" t="s">
        <v>440</v>
      </c>
      <c r="L135" s="29">
        <v>3</v>
      </c>
      <c r="M135" s="29">
        <v>9.0788600000000006</v>
      </c>
      <c r="O135" s="29">
        <v>0.3251899999999992</v>
      </c>
      <c r="P135" s="29">
        <v>3</v>
      </c>
      <c r="Q135" s="29">
        <v>8.0934399999999993</v>
      </c>
      <c r="S135" s="29">
        <v>0.43358000000000096</v>
      </c>
      <c r="T135" s="29">
        <v>3</v>
      </c>
      <c r="U135" s="29" t="s">
        <v>441</v>
      </c>
      <c r="V135" s="29">
        <v>3</v>
      </c>
      <c r="W135" s="29">
        <f t="shared" si="22"/>
        <v>3.0000000000000001E-3</v>
      </c>
      <c r="X135" s="29" t="str">
        <f t="shared" si="23"/>
        <v>Low</v>
      </c>
      <c r="Y135" s="29" t="s">
        <v>442</v>
      </c>
      <c r="Z135" s="29">
        <f t="shared" si="24"/>
        <v>-0.11489477706226317</v>
      </c>
      <c r="AA135" s="29">
        <f t="shared" si="20"/>
        <v>4.2765196418012076E-4</v>
      </c>
      <c r="AB135" s="29">
        <f t="shared" si="21"/>
        <v>9.5664526094521108E-4</v>
      </c>
      <c r="AC135" s="29">
        <f t="shared" si="25"/>
        <v>1.3842972251253318E-3</v>
      </c>
      <c r="AD135" s="29" t="s">
        <v>212</v>
      </c>
      <c r="AF135" s="29" t="s">
        <v>436</v>
      </c>
    </row>
    <row r="136" spans="1:33" s="29" customFormat="1" ht="15.75" x14ac:dyDescent="0.2">
      <c r="A136" s="29">
        <v>135</v>
      </c>
      <c r="B136" s="29">
        <v>8</v>
      </c>
      <c r="C136" s="29" t="s">
        <v>437</v>
      </c>
      <c r="D136" s="29" t="s">
        <v>438</v>
      </c>
      <c r="E136" s="29" t="s">
        <v>439</v>
      </c>
      <c r="F136" s="29" t="s">
        <v>133</v>
      </c>
      <c r="G136" s="29" t="s">
        <v>168</v>
      </c>
      <c r="H136" s="29" t="s">
        <v>167</v>
      </c>
      <c r="I136" s="29" t="s">
        <v>356</v>
      </c>
      <c r="J136" s="29">
        <v>8</v>
      </c>
      <c r="K136" s="29" t="s">
        <v>440</v>
      </c>
      <c r="L136" s="29">
        <v>3</v>
      </c>
      <c r="M136" s="29">
        <v>10.98072</v>
      </c>
      <c r="O136" s="29">
        <v>0.81789999999999985</v>
      </c>
      <c r="P136" s="29">
        <v>3</v>
      </c>
      <c r="Q136" s="29">
        <v>8.0934399999999993</v>
      </c>
      <c r="S136" s="29">
        <v>0.43358000000000096</v>
      </c>
      <c r="T136" s="29">
        <v>3</v>
      </c>
      <c r="U136" s="29" t="s">
        <v>441</v>
      </c>
      <c r="V136" s="29">
        <v>3</v>
      </c>
      <c r="W136" s="29">
        <f t="shared" si="22"/>
        <v>3.0000000000000001E-3</v>
      </c>
      <c r="X136" s="29" t="str">
        <f t="shared" si="23"/>
        <v>Low</v>
      </c>
      <c r="Y136" s="29" t="s">
        <v>442</v>
      </c>
      <c r="Z136" s="29">
        <f t="shared" si="24"/>
        <v>-0.30508715069400882</v>
      </c>
      <c r="AA136" s="29">
        <f t="shared" si="20"/>
        <v>1.8493432506745883E-3</v>
      </c>
      <c r="AB136" s="29">
        <f t="shared" si="21"/>
        <v>9.5664526094521108E-4</v>
      </c>
      <c r="AC136" s="29">
        <f t="shared" si="25"/>
        <v>2.8059885116197992E-3</v>
      </c>
      <c r="AD136" s="29" t="s">
        <v>444</v>
      </c>
      <c r="AF136" s="29" t="s">
        <v>436</v>
      </c>
    </row>
    <row r="137" spans="1:33" s="30" customFormat="1" ht="15.75" x14ac:dyDescent="0.2">
      <c r="A137" s="30">
        <v>136</v>
      </c>
      <c r="B137" s="30">
        <v>9</v>
      </c>
      <c r="C137" s="30" t="s">
        <v>446</v>
      </c>
      <c r="D137" s="30" t="s">
        <v>456</v>
      </c>
      <c r="E137" s="30" t="s">
        <v>457</v>
      </c>
      <c r="F137" s="30" t="s">
        <v>447</v>
      </c>
      <c r="G137" s="30" t="s">
        <v>414</v>
      </c>
      <c r="H137" s="30" t="s">
        <v>458</v>
      </c>
      <c r="I137" s="30" t="s">
        <v>459</v>
      </c>
      <c r="J137" s="30">
        <v>9</v>
      </c>
      <c r="K137" s="30" t="s">
        <v>455</v>
      </c>
      <c r="L137" s="30">
        <v>3</v>
      </c>
      <c r="M137" s="30">
        <v>255.8938</v>
      </c>
      <c r="N137" s="30">
        <v>60.469209999999975</v>
      </c>
      <c r="O137" s="30">
        <f xml:space="preserve"> N137*SQRT(L137)</f>
        <v>104.73574401355198</v>
      </c>
      <c r="P137" s="30">
        <v>3</v>
      </c>
      <c r="Q137" s="30">
        <v>95.256</v>
      </c>
      <c r="R137" s="30">
        <v>23.269570000000002</v>
      </c>
      <c r="S137" s="30">
        <f xml:space="preserve"> R137*SQRT(P137)</f>
        <v>40.304077510280521</v>
      </c>
      <c r="T137" s="30">
        <v>3</v>
      </c>
      <c r="U137" s="30" t="s">
        <v>452</v>
      </c>
      <c r="V137" s="30">
        <v>20</v>
      </c>
      <c r="W137" s="30">
        <f>V137* 0.001</f>
        <v>0.02</v>
      </c>
      <c r="X137" s="30" t="str">
        <f t="shared" si="23"/>
        <v>Low</v>
      </c>
      <c r="Y137" s="30" t="s">
        <v>449</v>
      </c>
      <c r="Z137" s="30">
        <f t="shared" si="24"/>
        <v>-0.98819451050921514</v>
      </c>
      <c r="AA137" s="30">
        <f t="shared" si="20"/>
        <v>5.5840469669566503E-2</v>
      </c>
      <c r="AB137" s="30">
        <f t="shared" si="21"/>
        <v>5.9674946011483626E-2</v>
      </c>
      <c r="AC137" s="30">
        <f t="shared" si="25"/>
        <v>0.11551541568105013</v>
      </c>
      <c r="AD137" s="30" t="s">
        <v>450</v>
      </c>
      <c r="AF137" s="30" t="s">
        <v>460</v>
      </c>
    </row>
    <row r="138" spans="1:33" s="30" customFormat="1" ht="15.75" x14ac:dyDescent="0.2">
      <c r="A138" s="30">
        <v>137</v>
      </c>
      <c r="B138" s="30">
        <v>9</v>
      </c>
      <c r="C138" s="30" t="s">
        <v>446</v>
      </c>
      <c r="D138" s="30" t="s">
        <v>456</v>
      </c>
      <c r="E138" s="30" t="s">
        <v>457</v>
      </c>
      <c r="F138" s="30" t="s">
        <v>447</v>
      </c>
      <c r="G138" s="30" t="s">
        <v>414</v>
      </c>
      <c r="H138" s="30" t="s">
        <v>458</v>
      </c>
      <c r="I138" s="30" t="s">
        <v>459</v>
      </c>
      <c r="J138" s="30">
        <v>9</v>
      </c>
      <c r="K138" s="30" t="s">
        <v>455</v>
      </c>
      <c r="L138" s="30">
        <v>3</v>
      </c>
      <c r="M138" s="30">
        <v>154.10925</v>
      </c>
      <c r="N138" s="30">
        <v>28.493339999999989</v>
      </c>
      <c r="O138" s="30">
        <f xml:space="preserve"> N138*SQRT(L138)</f>
        <v>49.351912557334572</v>
      </c>
      <c r="P138" s="30">
        <v>3</v>
      </c>
      <c r="Q138" s="30">
        <v>95.256</v>
      </c>
      <c r="R138" s="30">
        <v>23.269570000000002</v>
      </c>
      <c r="S138" s="30">
        <f xml:space="preserve"> R138*SQRT(P138)</f>
        <v>40.304077510280521</v>
      </c>
      <c r="T138" s="30">
        <v>3</v>
      </c>
      <c r="U138" s="30" t="s">
        <v>453</v>
      </c>
      <c r="V138" s="30">
        <v>100</v>
      </c>
      <c r="W138" s="30">
        <f>V138* 0.001</f>
        <v>0.1</v>
      </c>
      <c r="X138" s="30" t="str">
        <f t="shared" si="23"/>
        <v>Low</v>
      </c>
      <c r="Y138" s="30" t="s">
        <v>449</v>
      </c>
      <c r="Z138" s="30">
        <f t="shared" si="24"/>
        <v>-0.48109376233288115</v>
      </c>
      <c r="AA138" s="30">
        <f t="shared" si="20"/>
        <v>3.4184505899194237E-2</v>
      </c>
      <c r="AB138" s="30">
        <f t="shared" si="21"/>
        <v>5.9674946011483626E-2</v>
      </c>
      <c r="AC138" s="30">
        <f t="shared" si="25"/>
        <v>9.3859451910677863E-2</v>
      </c>
      <c r="AD138" s="30" t="s">
        <v>450</v>
      </c>
      <c r="AF138" s="30" t="s">
        <v>460</v>
      </c>
    </row>
    <row r="139" spans="1:33" s="30" customFormat="1" ht="15.75" x14ac:dyDescent="0.2">
      <c r="A139" s="30">
        <v>138</v>
      </c>
      <c r="B139" s="30">
        <v>9</v>
      </c>
      <c r="C139" s="30" t="s">
        <v>446</v>
      </c>
      <c r="D139" s="30" t="s">
        <v>456</v>
      </c>
      <c r="E139" s="30" t="s">
        <v>457</v>
      </c>
      <c r="F139" s="30" t="s">
        <v>447</v>
      </c>
      <c r="G139" s="30" t="s">
        <v>414</v>
      </c>
      <c r="H139" s="30" t="s">
        <v>458</v>
      </c>
      <c r="I139" s="30" t="s">
        <v>459</v>
      </c>
      <c r="J139" s="30">
        <v>9</v>
      </c>
      <c r="K139" s="30" t="s">
        <v>455</v>
      </c>
      <c r="L139" s="30">
        <v>3</v>
      </c>
      <c r="M139" s="30">
        <v>420.83861000000002</v>
      </c>
      <c r="N139" s="30">
        <v>77.565209999999979</v>
      </c>
      <c r="O139" s="30">
        <f xml:space="preserve"> N139*SQRT(L139)</f>
        <v>134.34688461974952</v>
      </c>
      <c r="P139" s="30">
        <v>3</v>
      </c>
      <c r="Q139" s="30">
        <v>95.256</v>
      </c>
      <c r="R139" s="30">
        <v>23.269570000000002</v>
      </c>
      <c r="S139" s="30">
        <f xml:space="preserve"> R139*SQRT(P139)</f>
        <v>40.304077510280521</v>
      </c>
      <c r="T139" s="30">
        <v>3</v>
      </c>
      <c r="U139" s="30" t="s">
        <v>454</v>
      </c>
      <c r="V139" s="30">
        <v>500</v>
      </c>
      <c r="W139" s="30">
        <f>V139* 0.001</f>
        <v>0.5</v>
      </c>
      <c r="X139" s="30" t="str">
        <f t="shared" si="23"/>
        <v>Low</v>
      </c>
      <c r="Y139" s="30" t="s">
        <v>449</v>
      </c>
      <c r="Z139" s="30">
        <f t="shared" si="24"/>
        <v>-1.4856814068677848</v>
      </c>
      <c r="AA139" s="30">
        <f t="shared" si="20"/>
        <v>3.3970566577275291E-2</v>
      </c>
      <c r="AB139" s="30">
        <f t="shared" si="21"/>
        <v>5.9674946011483626E-2</v>
      </c>
      <c r="AC139" s="30">
        <f t="shared" si="25"/>
        <v>9.3645512588758917E-2</v>
      </c>
      <c r="AD139" s="30" t="s">
        <v>450</v>
      </c>
      <c r="AF139" s="30" t="s">
        <v>460</v>
      </c>
    </row>
    <row r="140" spans="1:33" s="31" customFormat="1" ht="15.75" customHeight="1" x14ac:dyDescent="0.2">
      <c r="A140" s="31">
        <v>139</v>
      </c>
      <c r="B140" s="31">
        <v>10</v>
      </c>
      <c r="C140" s="31" t="s">
        <v>461</v>
      </c>
      <c r="D140" s="31" t="s">
        <v>177</v>
      </c>
      <c r="E140" s="31" t="s">
        <v>439</v>
      </c>
      <c r="F140" s="31" t="s">
        <v>447</v>
      </c>
      <c r="G140" s="31" t="s">
        <v>414</v>
      </c>
      <c r="H140" s="31" t="s">
        <v>167</v>
      </c>
      <c r="I140" s="31" t="s">
        <v>356</v>
      </c>
      <c r="J140" s="31">
        <v>10</v>
      </c>
      <c r="K140" s="31" t="s">
        <v>472</v>
      </c>
      <c r="L140" s="31">
        <v>10</v>
      </c>
      <c r="M140" s="31">
        <v>37.256</v>
      </c>
      <c r="O140" s="31">
        <v>7.5686500000000052</v>
      </c>
      <c r="P140" s="31">
        <v>10</v>
      </c>
      <c r="Q140" s="31">
        <v>4.2149999999999999</v>
      </c>
      <c r="S140" s="31">
        <v>0.66075999999999979</v>
      </c>
      <c r="T140" s="31">
        <v>10</v>
      </c>
      <c r="U140" s="31" t="s">
        <v>704</v>
      </c>
      <c r="V140" s="31">
        <v>10</v>
      </c>
      <c r="W140" s="31">
        <f xml:space="preserve"> V140 * 0.001</f>
        <v>0.01</v>
      </c>
      <c r="X140" s="31" t="str">
        <f t="shared" si="23"/>
        <v>Low</v>
      </c>
      <c r="Y140" s="31" t="s">
        <v>464</v>
      </c>
      <c r="Z140" s="31">
        <f t="shared" si="24"/>
        <v>-2.1791634142262573</v>
      </c>
      <c r="AA140" s="31">
        <f t="shared" si="20"/>
        <v>4.1270943272899881E-3</v>
      </c>
      <c r="AB140" s="31">
        <f t="shared" si="21"/>
        <v>2.4574932356198338E-3</v>
      </c>
      <c r="AC140" s="31">
        <f t="shared" si="25"/>
        <v>6.5845875629098223E-3</v>
      </c>
      <c r="AD140" s="31" t="s">
        <v>462</v>
      </c>
      <c r="AF140" s="31" t="s">
        <v>466</v>
      </c>
      <c r="AG140" s="31" t="s">
        <v>471</v>
      </c>
    </row>
    <row r="141" spans="1:33" s="31" customFormat="1" ht="15.75" x14ac:dyDescent="0.2">
      <c r="A141" s="31">
        <v>140</v>
      </c>
      <c r="B141" s="31">
        <v>10</v>
      </c>
      <c r="C141" s="31" t="s">
        <v>461</v>
      </c>
      <c r="D141" s="31" t="s">
        <v>177</v>
      </c>
      <c r="E141" s="31" t="s">
        <v>439</v>
      </c>
      <c r="F141" s="31" t="s">
        <v>133</v>
      </c>
      <c r="G141" s="31" t="s">
        <v>414</v>
      </c>
      <c r="H141" s="31" t="s">
        <v>167</v>
      </c>
      <c r="I141" s="31" t="s">
        <v>356</v>
      </c>
      <c r="J141" s="31">
        <v>10</v>
      </c>
      <c r="K141" s="31" t="s">
        <v>472</v>
      </c>
      <c r="L141" s="31">
        <v>10</v>
      </c>
      <c r="M141" s="31">
        <v>32.054600000000001</v>
      </c>
      <c r="O141" s="31">
        <v>8.2293999999999983</v>
      </c>
      <c r="P141" s="31">
        <v>10</v>
      </c>
      <c r="Q141" s="31">
        <v>7.2548000000000004</v>
      </c>
      <c r="S141" s="31">
        <v>0.66075999999999979</v>
      </c>
      <c r="T141" s="31">
        <v>10</v>
      </c>
      <c r="U141" s="31" t="s">
        <v>465</v>
      </c>
      <c r="V141" s="31">
        <v>10</v>
      </c>
      <c r="W141" s="31">
        <f t="shared" ref="W141:W157" si="26" xml:space="preserve"> V141 * 0.001</f>
        <v>0.01</v>
      </c>
      <c r="X141" s="31" t="str">
        <f t="shared" si="23"/>
        <v>Low</v>
      </c>
      <c r="Y141" s="31" t="s">
        <v>463</v>
      </c>
      <c r="Z141" s="31">
        <f>LN(M141/Q141)</f>
        <v>1.4857773800477438</v>
      </c>
      <c r="AA141" s="31">
        <f t="shared" si="20"/>
        <v>6.591065398487304E-3</v>
      </c>
      <c r="AB141" s="31">
        <f t="shared" si="21"/>
        <v>8.2953860186902272E-4</v>
      </c>
      <c r="AC141" s="31">
        <f t="shared" si="25"/>
        <v>7.4206040003563269E-3</v>
      </c>
      <c r="AD141" s="31" t="s">
        <v>462</v>
      </c>
      <c r="AF141" s="31" t="s">
        <v>466</v>
      </c>
    </row>
    <row r="142" spans="1:33" s="31" customFormat="1" ht="15.75" customHeight="1" x14ac:dyDescent="0.2">
      <c r="A142" s="31">
        <v>141</v>
      </c>
      <c r="B142" s="31">
        <v>10</v>
      </c>
      <c r="C142" s="31" t="s">
        <v>461</v>
      </c>
      <c r="D142" s="31" t="s">
        <v>177</v>
      </c>
      <c r="E142" s="31" t="s">
        <v>439</v>
      </c>
      <c r="F142" s="31" t="s">
        <v>447</v>
      </c>
      <c r="G142" s="31" t="s">
        <v>414</v>
      </c>
      <c r="H142" s="31" t="s">
        <v>167</v>
      </c>
      <c r="I142" s="31" t="s">
        <v>356</v>
      </c>
      <c r="J142" s="31">
        <v>10</v>
      </c>
      <c r="K142" s="31" t="s">
        <v>472</v>
      </c>
      <c r="L142" s="31">
        <v>10</v>
      </c>
      <c r="M142" s="31">
        <v>1.5525</v>
      </c>
      <c r="O142" s="31">
        <v>0.18260999999999994</v>
      </c>
      <c r="P142" s="31">
        <v>10</v>
      </c>
      <c r="Q142" s="31">
        <v>0.52339999999999998</v>
      </c>
      <c r="S142" s="31">
        <v>0.28593000000000002</v>
      </c>
      <c r="T142" s="31">
        <v>10</v>
      </c>
      <c r="U142" s="31" t="s">
        <v>465</v>
      </c>
      <c r="V142" s="31">
        <v>10</v>
      </c>
      <c r="W142" s="31">
        <f t="shared" si="26"/>
        <v>0.01</v>
      </c>
      <c r="X142" s="31" t="str">
        <f t="shared" si="23"/>
        <v>Low</v>
      </c>
      <c r="Y142" s="31" t="s">
        <v>464</v>
      </c>
      <c r="Z142" s="31">
        <f>(LN(M142/Q142))*-1</f>
        <v>-1.0872758237115885</v>
      </c>
      <c r="AA142" s="31">
        <f t="shared" si="20"/>
        <v>1.3835214450745635E-3</v>
      </c>
      <c r="AB142" s="31">
        <f t="shared" si="21"/>
        <v>2.9843655077636033E-2</v>
      </c>
      <c r="AC142" s="31">
        <f t="shared" si="25"/>
        <v>3.1227176522710596E-2</v>
      </c>
      <c r="AD142" s="31" t="s">
        <v>462</v>
      </c>
      <c r="AF142" s="31" t="s">
        <v>467</v>
      </c>
    </row>
    <row r="143" spans="1:33" s="31" customFormat="1" ht="15.75" x14ac:dyDescent="0.2">
      <c r="A143" s="31">
        <v>142</v>
      </c>
      <c r="B143" s="31">
        <v>10</v>
      </c>
      <c r="C143" s="31" t="s">
        <v>461</v>
      </c>
      <c r="D143" s="31" t="s">
        <v>177</v>
      </c>
      <c r="E143" s="31" t="s">
        <v>439</v>
      </c>
      <c r="F143" s="31" t="s">
        <v>133</v>
      </c>
      <c r="G143" s="31" t="s">
        <v>414</v>
      </c>
      <c r="H143" s="31" t="s">
        <v>167</v>
      </c>
      <c r="I143" s="31" t="s">
        <v>356</v>
      </c>
      <c r="J143" s="31">
        <v>10</v>
      </c>
      <c r="K143" s="31" t="s">
        <v>472</v>
      </c>
      <c r="L143" s="31">
        <v>10</v>
      </c>
      <c r="M143" s="31">
        <v>2.0314000000000001</v>
      </c>
      <c r="O143" s="31">
        <v>0.33638000000000012</v>
      </c>
      <c r="P143" s="31">
        <v>10</v>
      </c>
      <c r="Q143" s="31">
        <v>0.98529999999999995</v>
      </c>
      <c r="S143" s="31">
        <v>0.28593000000000002</v>
      </c>
      <c r="T143" s="31">
        <v>10</v>
      </c>
      <c r="U143" s="31" t="s">
        <v>465</v>
      </c>
      <c r="V143" s="31">
        <v>10</v>
      </c>
      <c r="W143" s="31">
        <f t="shared" si="26"/>
        <v>0.01</v>
      </c>
      <c r="X143" s="31" t="str">
        <f t="shared" si="23"/>
        <v>Low</v>
      </c>
      <c r="Y143" s="31" t="s">
        <v>463</v>
      </c>
      <c r="Z143" s="31">
        <f>LN(M143/Q143)</f>
        <v>0.723534326176972</v>
      </c>
      <c r="AA143" s="31">
        <f t="shared" si="20"/>
        <v>2.7420125376474667E-3</v>
      </c>
      <c r="AB143" s="31">
        <f t="shared" si="21"/>
        <v>8.421364843674976E-3</v>
      </c>
      <c r="AC143" s="31">
        <f t="shared" si="25"/>
        <v>1.1163377381322443E-2</v>
      </c>
      <c r="AD143" s="31" t="s">
        <v>462</v>
      </c>
      <c r="AF143" s="31" t="s">
        <v>467</v>
      </c>
    </row>
    <row r="144" spans="1:33" s="31" customFormat="1" ht="15.75" x14ac:dyDescent="0.2">
      <c r="A144" s="31">
        <v>143</v>
      </c>
      <c r="B144" s="31">
        <v>10</v>
      </c>
      <c r="C144" s="31" t="s">
        <v>461</v>
      </c>
      <c r="D144" s="31" t="s">
        <v>177</v>
      </c>
      <c r="E144" s="31" t="s">
        <v>439</v>
      </c>
      <c r="F144" s="31" t="s">
        <v>447</v>
      </c>
      <c r="G144" s="31" t="s">
        <v>414</v>
      </c>
      <c r="H144" s="31" t="s">
        <v>167</v>
      </c>
      <c r="I144" s="31" t="s">
        <v>356</v>
      </c>
      <c r="J144" s="31">
        <v>10</v>
      </c>
      <c r="K144" s="31" t="s">
        <v>472</v>
      </c>
      <c r="L144" s="31">
        <v>10</v>
      </c>
      <c r="M144" s="31">
        <v>1.6232599999999999</v>
      </c>
      <c r="O144" s="31">
        <v>0.94037999999999999</v>
      </c>
      <c r="P144" s="31">
        <v>10</v>
      </c>
      <c r="Q144" s="31">
        <v>1.02014</v>
      </c>
      <c r="S144" s="31">
        <v>0.35508999999999991</v>
      </c>
      <c r="T144" s="31">
        <v>10</v>
      </c>
      <c r="U144" s="31" t="s">
        <v>465</v>
      </c>
      <c r="V144" s="31">
        <v>10</v>
      </c>
      <c r="W144" s="31">
        <f t="shared" si="26"/>
        <v>0.01</v>
      </c>
      <c r="X144" s="31" t="str">
        <f t="shared" si="23"/>
        <v>Low</v>
      </c>
      <c r="Y144" s="31" t="s">
        <v>464</v>
      </c>
      <c r="Z144" s="31">
        <f>(LN(M144/Q144))*-1</f>
        <v>-0.46449660008845256</v>
      </c>
      <c r="AA144" s="31">
        <f t="shared" si="20"/>
        <v>3.356066779952796E-2</v>
      </c>
      <c r="AB144" s="31">
        <f t="shared" si="21"/>
        <v>1.211594603838801E-2</v>
      </c>
      <c r="AC144" s="31">
        <f t="shared" si="25"/>
        <v>4.5676613837915971E-2</v>
      </c>
      <c r="AD144" s="31" t="s">
        <v>462</v>
      </c>
      <c r="AF144" s="31" t="s">
        <v>468</v>
      </c>
    </row>
    <row r="145" spans="1:33" s="31" customFormat="1" ht="15.75" x14ac:dyDescent="0.2">
      <c r="A145" s="31">
        <v>144</v>
      </c>
      <c r="B145" s="31">
        <v>10</v>
      </c>
      <c r="C145" s="31" t="s">
        <v>461</v>
      </c>
      <c r="D145" s="31" t="s">
        <v>177</v>
      </c>
      <c r="E145" s="31" t="s">
        <v>439</v>
      </c>
      <c r="F145" s="31" t="s">
        <v>133</v>
      </c>
      <c r="G145" s="31" t="s">
        <v>414</v>
      </c>
      <c r="H145" s="31" t="s">
        <v>167</v>
      </c>
      <c r="I145" s="31" t="s">
        <v>356</v>
      </c>
      <c r="J145" s="31">
        <v>10</v>
      </c>
      <c r="K145" s="31" t="s">
        <v>472</v>
      </c>
      <c r="L145" s="31">
        <v>10</v>
      </c>
      <c r="M145" s="31">
        <v>1.05243</v>
      </c>
      <c r="O145" s="31">
        <v>0.34617999999999993</v>
      </c>
      <c r="P145" s="31">
        <v>10</v>
      </c>
      <c r="Q145" s="31">
        <v>1.2435</v>
      </c>
      <c r="S145" s="31">
        <v>0.35508999999999991</v>
      </c>
      <c r="T145" s="31">
        <v>10</v>
      </c>
      <c r="U145" s="31" t="s">
        <v>465</v>
      </c>
      <c r="V145" s="31">
        <v>10</v>
      </c>
      <c r="W145" s="31">
        <f t="shared" si="26"/>
        <v>0.01</v>
      </c>
      <c r="X145" s="31" t="str">
        <f t="shared" si="23"/>
        <v>Low</v>
      </c>
      <c r="Y145" s="31" t="s">
        <v>463</v>
      </c>
      <c r="Z145" s="31">
        <f>LN(M145/Q145)</f>
        <v>-0.16682820821223812</v>
      </c>
      <c r="AA145" s="31">
        <f t="shared" si="20"/>
        <v>1.0819757034259282E-2</v>
      </c>
      <c r="AB145" s="31">
        <f t="shared" si="21"/>
        <v>8.1542740772321612E-3</v>
      </c>
      <c r="AC145" s="31">
        <f t="shared" si="25"/>
        <v>1.8974031111491443E-2</v>
      </c>
      <c r="AD145" s="31" t="s">
        <v>462</v>
      </c>
      <c r="AF145" s="31" t="s">
        <v>468</v>
      </c>
    </row>
    <row r="146" spans="1:33" s="31" customFormat="1" ht="15.75" customHeight="1" x14ac:dyDescent="0.2">
      <c r="A146" s="31">
        <v>145</v>
      </c>
      <c r="B146" s="31">
        <v>10</v>
      </c>
      <c r="C146" s="31" t="s">
        <v>461</v>
      </c>
      <c r="D146" s="31" t="s">
        <v>177</v>
      </c>
      <c r="E146" s="31" t="s">
        <v>439</v>
      </c>
      <c r="F146" s="31" t="s">
        <v>447</v>
      </c>
      <c r="G146" s="31" t="s">
        <v>414</v>
      </c>
      <c r="H146" s="31" t="s">
        <v>167</v>
      </c>
      <c r="I146" s="31" t="s">
        <v>356</v>
      </c>
      <c r="J146" s="31">
        <v>10</v>
      </c>
      <c r="K146" s="31" t="s">
        <v>472</v>
      </c>
      <c r="L146" s="31">
        <v>10</v>
      </c>
      <c r="M146" s="31">
        <v>0.52659999999999996</v>
      </c>
      <c r="O146" s="31">
        <v>0.10447000000000006</v>
      </c>
      <c r="P146" s="31">
        <v>10</v>
      </c>
      <c r="Q146" s="31">
        <v>1.2503200000000001</v>
      </c>
      <c r="S146" s="31">
        <v>0.12869999999999981</v>
      </c>
      <c r="T146" s="31">
        <v>10</v>
      </c>
      <c r="U146" s="31" t="s">
        <v>465</v>
      </c>
      <c r="V146" s="31">
        <v>10</v>
      </c>
      <c r="W146" s="31">
        <f t="shared" si="26"/>
        <v>0.01</v>
      </c>
      <c r="X146" s="31" t="str">
        <f t="shared" si="23"/>
        <v>Low</v>
      </c>
      <c r="Y146" s="31" t="s">
        <v>464</v>
      </c>
      <c r="Z146" s="31">
        <f t="shared" ref="Z146:Z157" si="27">(LN(M146/Q146))*-1</f>
        <v>0.86471355047172938</v>
      </c>
      <c r="AA146" s="31">
        <f t="shared" si="20"/>
        <v>3.9356954062125162E-3</v>
      </c>
      <c r="AB146" s="31">
        <f t="shared" si="21"/>
        <v>1.0595336093544127E-3</v>
      </c>
      <c r="AC146" s="31">
        <f t="shared" si="25"/>
        <v>4.9952290155669292E-3</v>
      </c>
      <c r="AD146" s="31" t="s">
        <v>462</v>
      </c>
      <c r="AF146" s="31" t="s">
        <v>190</v>
      </c>
    </row>
    <row r="147" spans="1:33" s="31" customFormat="1" ht="15.75" x14ac:dyDescent="0.2">
      <c r="A147" s="31">
        <v>146</v>
      </c>
      <c r="B147" s="31">
        <v>10</v>
      </c>
      <c r="C147" s="31" t="s">
        <v>461</v>
      </c>
      <c r="D147" s="31" t="s">
        <v>177</v>
      </c>
      <c r="E147" s="31" t="s">
        <v>439</v>
      </c>
      <c r="F147" s="31" t="s">
        <v>133</v>
      </c>
      <c r="G147" s="31" t="s">
        <v>414</v>
      </c>
      <c r="H147" s="31" t="s">
        <v>167</v>
      </c>
      <c r="I147" s="31" t="s">
        <v>356</v>
      </c>
      <c r="J147" s="31">
        <v>10</v>
      </c>
      <c r="K147" s="31" t="s">
        <v>472</v>
      </c>
      <c r="L147" s="31">
        <v>10</v>
      </c>
      <c r="M147" s="31">
        <v>2.0134099999999999</v>
      </c>
      <c r="O147" s="31">
        <v>0.32250000000000023</v>
      </c>
      <c r="P147" s="31">
        <v>10</v>
      </c>
      <c r="Q147" s="31">
        <v>1.2503200000000001</v>
      </c>
      <c r="S147" s="31">
        <v>0.12869999999999981</v>
      </c>
      <c r="T147" s="31">
        <v>10</v>
      </c>
      <c r="U147" s="31" t="s">
        <v>465</v>
      </c>
      <c r="V147" s="31">
        <v>10</v>
      </c>
      <c r="W147" s="31">
        <f t="shared" si="26"/>
        <v>0.01</v>
      </c>
      <c r="X147" s="31" t="str">
        <f t="shared" si="23"/>
        <v>Low</v>
      </c>
      <c r="Y147" s="31" t="s">
        <v>463</v>
      </c>
      <c r="Z147" s="31">
        <f t="shared" si="27"/>
        <v>-0.47643028347200672</v>
      </c>
      <c r="AA147" s="31">
        <f t="shared" si="20"/>
        <v>2.5656357314909881E-3</v>
      </c>
      <c r="AB147" s="31">
        <f t="shared" si="21"/>
        <v>1.0595336093544127E-3</v>
      </c>
      <c r="AC147" s="31">
        <f t="shared" si="25"/>
        <v>3.6251693408454006E-3</v>
      </c>
      <c r="AD147" s="31" t="s">
        <v>462</v>
      </c>
      <c r="AF147" s="31" t="s">
        <v>190</v>
      </c>
    </row>
    <row r="148" spans="1:33" s="31" customFormat="1" ht="15.75" x14ac:dyDescent="0.2">
      <c r="A148" s="31">
        <v>147</v>
      </c>
      <c r="B148" s="31">
        <v>10</v>
      </c>
      <c r="C148" s="31" t="s">
        <v>461</v>
      </c>
      <c r="D148" s="31" t="s">
        <v>177</v>
      </c>
      <c r="E148" s="31" t="s">
        <v>439</v>
      </c>
      <c r="F148" s="31" t="s">
        <v>447</v>
      </c>
      <c r="G148" s="31" t="s">
        <v>414</v>
      </c>
      <c r="H148" s="31" t="s">
        <v>167</v>
      </c>
      <c r="I148" s="31" t="s">
        <v>356</v>
      </c>
      <c r="J148" s="31">
        <v>10</v>
      </c>
      <c r="K148" s="31" t="s">
        <v>472</v>
      </c>
      <c r="L148" s="31">
        <v>10</v>
      </c>
      <c r="M148" s="31">
        <v>0.71682000000000001</v>
      </c>
      <c r="O148" s="31">
        <v>0.21196999999999999</v>
      </c>
      <c r="P148" s="31">
        <v>10</v>
      </c>
      <c r="Q148" s="31">
        <v>1.0317499999999999</v>
      </c>
      <c r="S148" s="31">
        <v>0.34157999999999999</v>
      </c>
      <c r="T148" s="31">
        <v>10</v>
      </c>
      <c r="U148" s="31" t="s">
        <v>465</v>
      </c>
      <c r="V148" s="31">
        <v>10</v>
      </c>
      <c r="W148" s="31">
        <f t="shared" si="26"/>
        <v>0.01</v>
      </c>
      <c r="X148" s="31" t="str">
        <f t="shared" si="23"/>
        <v>Low</v>
      </c>
      <c r="Y148" s="31" t="s">
        <v>464</v>
      </c>
      <c r="Z148" s="31">
        <f t="shared" si="27"/>
        <v>0.36418690557550371</v>
      </c>
      <c r="AA148" s="31">
        <f t="shared" si="20"/>
        <v>8.7443709235271762E-3</v>
      </c>
      <c r="AB148" s="31">
        <f t="shared" si="21"/>
        <v>1.0960639990455686E-2</v>
      </c>
      <c r="AC148" s="31">
        <f t="shared" si="25"/>
        <v>1.9705010913982864E-2</v>
      </c>
      <c r="AD148" s="31" t="s">
        <v>462</v>
      </c>
      <c r="AF148" s="31" t="s">
        <v>191</v>
      </c>
    </row>
    <row r="149" spans="1:33" s="31" customFormat="1" ht="15.75" x14ac:dyDescent="0.2">
      <c r="A149" s="31">
        <v>148</v>
      </c>
      <c r="B149" s="31">
        <v>10</v>
      </c>
      <c r="C149" s="31" t="s">
        <v>461</v>
      </c>
      <c r="D149" s="31" t="s">
        <v>177</v>
      </c>
      <c r="E149" s="31" t="s">
        <v>439</v>
      </c>
      <c r="F149" s="31" t="s">
        <v>133</v>
      </c>
      <c r="G149" s="31" t="s">
        <v>414</v>
      </c>
      <c r="H149" s="31" t="s">
        <v>167</v>
      </c>
      <c r="I149" s="31" t="s">
        <v>356</v>
      </c>
      <c r="J149" s="31">
        <v>10</v>
      </c>
      <c r="K149" s="31" t="s">
        <v>472</v>
      </c>
      <c r="L149" s="31">
        <v>10</v>
      </c>
      <c r="M149" s="31">
        <v>1.27037</v>
      </c>
      <c r="O149" s="31">
        <v>0.29553999999999991</v>
      </c>
      <c r="P149" s="31">
        <v>10</v>
      </c>
      <c r="Q149" s="31">
        <v>1.0317499999999999</v>
      </c>
      <c r="S149" s="31">
        <v>0.34157999999999999</v>
      </c>
      <c r="T149" s="31">
        <v>10</v>
      </c>
      <c r="U149" s="31" t="s">
        <v>465</v>
      </c>
      <c r="V149" s="31">
        <v>10</v>
      </c>
      <c r="W149" s="31">
        <f t="shared" si="26"/>
        <v>0.01</v>
      </c>
      <c r="X149" s="31" t="str">
        <f t="shared" si="23"/>
        <v>Low</v>
      </c>
      <c r="Y149" s="31" t="s">
        <v>463</v>
      </c>
      <c r="Z149" s="31">
        <f t="shared" si="27"/>
        <v>-0.20805180697177911</v>
      </c>
      <c r="AA149" s="31">
        <f t="shared" si="20"/>
        <v>5.4121780978959692E-3</v>
      </c>
      <c r="AB149" s="31">
        <f t="shared" si="21"/>
        <v>1.0960639990455686E-2</v>
      </c>
      <c r="AC149" s="31">
        <f t="shared" si="25"/>
        <v>1.6372818088351657E-2</v>
      </c>
      <c r="AD149" s="31" t="s">
        <v>462</v>
      </c>
      <c r="AF149" s="31" t="s">
        <v>191</v>
      </c>
    </row>
    <row r="150" spans="1:33" s="31" customFormat="1" ht="15.75" x14ac:dyDescent="0.2">
      <c r="A150" s="31">
        <v>149</v>
      </c>
      <c r="B150" s="31">
        <v>10</v>
      </c>
      <c r="C150" s="31" t="s">
        <v>461</v>
      </c>
      <c r="D150" s="31" t="s">
        <v>177</v>
      </c>
      <c r="E150" s="31" t="s">
        <v>439</v>
      </c>
      <c r="F150" s="31" t="s">
        <v>447</v>
      </c>
      <c r="G150" s="31" t="s">
        <v>414</v>
      </c>
      <c r="H150" s="31" t="s">
        <v>167</v>
      </c>
      <c r="I150" s="31" t="s">
        <v>356</v>
      </c>
      <c r="J150" s="31">
        <v>10</v>
      </c>
      <c r="K150" s="31" t="s">
        <v>472</v>
      </c>
      <c r="L150" s="31">
        <v>10</v>
      </c>
      <c r="M150" s="31">
        <v>0.99194000000000004</v>
      </c>
      <c r="O150" s="31">
        <v>0.16714999999999999</v>
      </c>
      <c r="P150" s="31">
        <v>10</v>
      </c>
      <c r="Q150" s="31">
        <v>1.13971</v>
      </c>
      <c r="S150" s="31">
        <v>0.66256000000000004</v>
      </c>
      <c r="T150" s="31">
        <v>10</v>
      </c>
      <c r="U150" s="31" t="s">
        <v>465</v>
      </c>
      <c r="V150" s="31">
        <v>10</v>
      </c>
      <c r="W150" s="31">
        <f t="shared" si="26"/>
        <v>0.01</v>
      </c>
      <c r="X150" s="31" t="str">
        <f t="shared" si="23"/>
        <v>Low</v>
      </c>
      <c r="Y150" s="31" t="s">
        <v>464</v>
      </c>
      <c r="Z150" s="31">
        <f t="shared" si="27"/>
        <v>0.13886650147734891</v>
      </c>
      <c r="AA150" s="31">
        <f t="shared" si="20"/>
        <v>2.8395005344382246E-3</v>
      </c>
      <c r="AB150" s="31">
        <f t="shared" si="21"/>
        <v>3.3795720412524377E-2</v>
      </c>
      <c r="AC150" s="31">
        <f t="shared" si="25"/>
        <v>3.6635220946962602E-2</v>
      </c>
      <c r="AD150" s="31" t="s">
        <v>462</v>
      </c>
      <c r="AF150" s="31" t="s">
        <v>469</v>
      </c>
    </row>
    <row r="151" spans="1:33" s="31" customFormat="1" ht="15.75" x14ac:dyDescent="0.2">
      <c r="A151" s="31">
        <v>150</v>
      </c>
      <c r="B151" s="31">
        <v>10</v>
      </c>
      <c r="C151" s="31" t="s">
        <v>461</v>
      </c>
      <c r="D151" s="31" t="s">
        <v>177</v>
      </c>
      <c r="E151" s="31" t="s">
        <v>439</v>
      </c>
      <c r="F151" s="31" t="s">
        <v>133</v>
      </c>
      <c r="G151" s="31" t="s">
        <v>414</v>
      </c>
      <c r="H151" s="31" t="s">
        <v>167</v>
      </c>
      <c r="I151" s="31" t="s">
        <v>356</v>
      </c>
      <c r="J151" s="31">
        <v>10</v>
      </c>
      <c r="K151" s="31" t="s">
        <v>472</v>
      </c>
      <c r="L151" s="31">
        <v>10</v>
      </c>
      <c r="M151" s="31">
        <v>1.1784699999999999</v>
      </c>
      <c r="O151" s="31">
        <v>0.39245000000000019</v>
      </c>
      <c r="P151" s="31">
        <v>10</v>
      </c>
      <c r="Q151" s="31">
        <v>1.13971</v>
      </c>
      <c r="S151" s="31">
        <v>0.66256000000000004</v>
      </c>
      <c r="T151" s="31">
        <v>10</v>
      </c>
      <c r="U151" s="31" t="s">
        <v>465</v>
      </c>
      <c r="V151" s="31">
        <v>10</v>
      </c>
      <c r="W151" s="31">
        <f t="shared" si="26"/>
        <v>0.01</v>
      </c>
      <c r="X151" s="31" t="str">
        <f t="shared" si="23"/>
        <v>Low</v>
      </c>
      <c r="Y151" s="31" t="s">
        <v>463</v>
      </c>
      <c r="Z151" s="31">
        <f t="shared" si="27"/>
        <v>-3.3443142901895276E-2</v>
      </c>
      <c r="AA151" s="31">
        <f t="shared" si="20"/>
        <v>1.1090001484325729E-2</v>
      </c>
      <c r="AB151" s="31">
        <f t="shared" si="21"/>
        <v>3.3795720412524377E-2</v>
      </c>
      <c r="AC151" s="31">
        <f t="shared" si="25"/>
        <v>4.4885721896850105E-2</v>
      </c>
      <c r="AD151" s="31" t="s">
        <v>462</v>
      </c>
      <c r="AF151" s="31" t="s">
        <v>469</v>
      </c>
    </row>
    <row r="152" spans="1:33" s="31" customFormat="1" ht="15.75" x14ac:dyDescent="0.2">
      <c r="A152" s="31">
        <v>151</v>
      </c>
      <c r="B152" s="31">
        <v>10</v>
      </c>
      <c r="C152" s="31" t="s">
        <v>461</v>
      </c>
      <c r="D152" s="31" t="s">
        <v>177</v>
      </c>
      <c r="E152" s="31" t="s">
        <v>439</v>
      </c>
      <c r="F152" s="31" t="s">
        <v>133</v>
      </c>
      <c r="G152" s="31" t="s">
        <v>414</v>
      </c>
      <c r="H152" s="31" t="s">
        <v>167</v>
      </c>
      <c r="I152" s="31" t="s">
        <v>356</v>
      </c>
      <c r="J152" s="31">
        <v>10</v>
      </c>
      <c r="K152" s="31" t="s">
        <v>472</v>
      </c>
      <c r="L152" s="31">
        <v>10</v>
      </c>
      <c r="M152" s="31">
        <v>2.7791899999999998</v>
      </c>
      <c r="O152" s="31">
        <v>0.14199000000000028</v>
      </c>
      <c r="P152" s="31">
        <v>10</v>
      </c>
      <c r="Q152" s="31">
        <v>4.1794599999999997</v>
      </c>
      <c r="S152" s="31">
        <v>0.18604999999999983</v>
      </c>
      <c r="T152" s="31">
        <v>10</v>
      </c>
      <c r="U152" s="31" t="s">
        <v>465</v>
      </c>
      <c r="V152" s="31">
        <v>10</v>
      </c>
      <c r="W152" s="31">
        <f t="shared" si="26"/>
        <v>0.01</v>
      </c>
      <c r="X152" s="31" t="str">
        <f t="shared" si="23"/>
        <v>Low</v>
      </c>
      <c r="Y152" s="31" t="s">
        <v>464</v>
      </c>
      <c r="Z152" s="31">
        <f t="shared" si="27"/>
        <v>0.40802253324799936</v>
      </c>
      <c r="AA152" s="31">
        <f t="shared" si="20"/>
        <v>2.6102315908104536E-4</v>
      </c>
      <c r="AB152" s="31">
        <f t="shared" si="21"/>
        <v>1.9816137290343475E-4</v>
      </c>
      <c r="AC152" s="31">
        <f t="shared" si="25"/>
        <v>4.5918453198448008E-4</v>
      </c>
      <c r="AD152" s="31" t="s">
        <v>462</v>
      </c>
      <c r="AF152" s="31" t="s">
        <v>470</v>
      </c>
    </row>
    <row r="153" spans="1:33" s="31" customFormat="1" ht="15.75" x14ac:dyDescent="0.2">
      <c r="A153" s="31">
        <v>152</v>
      </c>
      <c r="B153" s="31">
        <v>10</v>
      </c>
      <c r="C153" s="31" t="s">
        <v>461</v>
      </c>
      <c r="D153" s="31" t="s">
        <v>177</v>
      </c>
      <c r="E153" s="31" t="s">
        <v>439</v>
      </c>
      <c r="F153" s="31" t="s">
        <v>133</v>
      </c>
      <c r="G153" s="31" t="s">
        <v>414</v>
      </c>
      <c r="H153" s="31" t="s">
        <v>167</v>
      </c>
      <c r="I153" s="31" t="s">
        <v>356</v>
      </c>
      <c r="J153" s="31">
        <v>10</v>
      </c>
      <c r="K153" s="31" t="s">
        <v>472</v>
      </c>
      <c r="L153" s="31">
        <v>10</v>
      </c>
      <c r="M153" s="31">
        <v>6.2896400000000003</v>
      </c>
      <c r="O153" s="31">
        <v>0.11751000000000023</v>
      </c>
      <c r="P153" s="31">
        <v>10</v>
      </c>
      <c r="Q153" s="31">
        <v>4.1794599999999997</v>
      </c>
      <c r="S153" s="31">
        <v>0.18604999999999983</v>
      </c>
      <c r="T153" s="31">
        <v>10</v>
      </c>
      <c r="U153" s="31" t="s">
        <v>465</v>
      </c>
      <c r="V153" s="31">
        <v>10</v>
      </c>
      <c r="W153" s="31">
        <f t="shared" si="26"/>
        <v>0.01</v>
      </c>
      <c r="X153" s="31" t="str">
        <f t="shared" si="23"/>
        <v>Low</v>
      </c>
      <c r="Y153" s="31" t="s">
        <v>463</v>
      </c>
      <c r="Z153" s="31">
        <f t="shared" si="27"/>
        <v>-0.40872178378165958</v>
      </c>
      <c r="AA153" s="31">
        <f t="shared" si="20"/>
        <v>3.4905838551561663E-5</v>
      </c>
      <c r="AB153" s="31">
        <f t="shared" si="21"/>
        <v>1.9816137290343475E-4</v>
      </c>
      <c r="AC153" s="31">
        <f t="shared" si="25"/>
        <v>2.3306721145499641E-4</v>
      </c>
      <c r="AD153" s="31" t="s">
        <v>462</v>
      </c>
      <c r="AF153" s="31" t="s">
        <v>470</v>
      </c>
    </row>
    <row r="154" spans="1:33" s="31" customFormat="1" ht="15.75" x14ac:dyDescent="0.2">
      <c r="A154" s="31">
        <v>153</v>
      </c>
      <c r="B154" s="31">
        <v>10</v>
      </c>
      <c r="C154" s="31" t="s">
        <v>461</v>
      </c>
      <c r="D154" s="31" t="s">
        <v>177</v>
      </c>
      <c r="E154" s="31" t="s">
        <v>439</v>
      </c>
      <c r="F154" s="31" t="s">
        <v>133</v>
      </c>
      <c r="G154" s="31" t="s">
        <v>414</v>
      </c>
      <c r="H154" s="31" t="s">
        <v>167</v>
      </c>
      <c r="I154" s="31" t="s">
        <v>356</v>
      </c>
      <c r="J154" s="31">
        <v>10</v>
      </c>
      <c r="K154" s="31" t="s">
        <v>472</v>
      </c>
      <c r="L154" s="31">
        <v>10</v>
      </c>
      <c r="M154" s="31">
        <v>1.12242</v>
      </c>
      <c r="O154" s="31">
        <v>9.155000000000002E-2</v>
      </c>
      <c r="P154" s="31">
        <v>10</v>
      </c>
      <c r="Q154" s="31">
        <v>0.61348000000000003</v>
      </c>
      <c r="S154" s="31">
        <v>8.4820000000000007E-2</v>
      </c>
      <c r="T154" s="31">
        <v>10</v>
      </c>
      <c r="U154" s="31" t="s">
        <v>465</v>
      </c>
      <c r="V154" s="31">
        <v>10</v>
      </c>
      <c r="W154" s="31">
        <f t="shared" si="26"/>
        <v>0.01</v>
      </c>
      <c r="X154" s="31" t="str">
        <f t="shared" si="23"/>
        <v>Low</v>
      </c>
      <c r="Y154" s="31" t="s">
        <v>464</v>
      </c>
      <c r="Z154" s="31">
        <f t="shared" si="27"/>
        <v>-0.60409468380628895</v>
      </c>
      <c r="AA154" s="31">
        <f t="shared" si="20"/>
        <v>6.6528220032668341E-4</v>
      </c>
      <c r="AB154" s="31">
        <f t="shared" si="21"/>
        <v>1.9115942629031363E-3</v>
      </c>
      <c r="AC154" s="31">
        <f t="shared" si="25"/>
        <v>2.5768764632298196E-3</v>
      </c>
      <c r="AD154" s="31" t="s">
        <v>462</v>
      </c>
      <c r="AF154" s="31" t="s">
        <v>191</v>
      </c>
    </row>
    <row r="155" spans="1:33" s="31" customFormat="1" ht="15.75" x14ac:dyDescent="0.2">
      <c r="A155" s="31">
        <v>154</v>
      </c>
      <c r="B155" s="31">
        <v>10</v>
      </c>
      <c r="C155" s="31" t="s">
        <v>461</v>
      </c>
      <c r="D155" s="31" t="s">
        <v>177</v>
      </c>
      <c r="E155" s="31" t="s">
        <v>439</v>
      </c>
      <c r="F155" s="31" t="s">
        <v>133</v>
      </c>
      <c r="G155" s="31" t="s">
        <v>414</v>
      </c>
      <c r="H155" s="31" t="s">
        <v>167</v>
      </c>
      <c r="I155" s="31" t="s">
        <v>356</v>
      </c>
      <c r="J155" s="31">
        <v>10</v>
      </c>
      <c r="K155" s="31" t="s">
        <v>472</v>
      </c>
      <c r="L155" s="31">
        <v>10</v>
      </c>
      <c r="M155" s="31">
        <v>1.65829</v>
      </c>
      <c r="O155" s="31">
        <v>1.2120000000000131E-2</v>
      </c>
      <c r="P155" s="31">
        <v>10</v>
      </c>
      <c r="Q155" s="31">
        <v>0.61348000000000003</v>
      </c>
      <c r="S155" s="31">
        <v>8.4820000000000007E-2</v>
      </c>
      <c r="T155" s="31">
        <v>10</v>
      </c>
      <c r="U155" s="31" t="s">
        <v>465</v>
      </c>
      <c r="V155" s="31">
        <v>10</v>
      </c>
      <c r="W155" s="31">
        <f t="shared" si="26"/>
        <v>0.01</v>
      </c>
      <c r="X155" s="31" t="str">
        <f t="shared" si="23"/>
        <v>Low</v>
      </c>
      <c r="Y155" s="31" t="s">
        <v>463</v>
      </c>
      <c r="Z155" s="31">
        <f t="shared" si="27"/>
        <v>-0.99439456614732658</v>
      </c>
      <c r="AA155" s="31">
        <f t="shared" si="20"/>
        <v>5.3417588232525442E-6</v>
      </c>
      <c r="AB155" s="31">
        <f t="shared" si="21"/>
        <v>1.9115942629031363E-3</v>
      </c>
      <c r="AC155" s="31">
        <f t="shared" si="25"/>
        <v>1.9169360217263889E-3</v>
      </c>
      <c r="AD155" s="31" t="s">
        <v>462</v>
      </c>
      <c r="AF155" s="31" t="s">
        <v>191</v>
      </c>
    </row>
    <row r="156" spans="1:33" s="31" customFormat="1" ht="15.75" x14ac:dyDescent="0.2">
      <c r="A156" s="31">
        <v>155</v>
      </c>
      <c r="B156" s="31">
        <v>10</v>
      </c>
      <c r="C156" s="31" t="s">
        <v>461</v>
      </c>
      <c r="D156" s="31" t="s">
        <v>177</v>
      </c>
      <c r="E156" s="31" t="s">
        <v>439</v>
      </c>
      <c r="F156" s="31" t="s">
        <v>133</v>
      </c>
      <c r="G156" s="31" t="s">
        <v>414</v>
      </c>
      <c r="H156" s="31" t="s">
        <v>167</v>
      </c>
      <c r="I156" s="31" t="s">
        <v>356</v>
      </c>
      <c r="J156" s="31">
        <v>10</v>
      </c>
      <c r="K156" s="31" t="s">
        <v>472</v>
      </c>
      <c r="L156" s="31">
        <v>10</v>
      </c>
      <c r="M156" s="31">
        <v>72.913589999999999</v>
      </c>
      <c r="O156" s="31">
        <v>1.0526499999999999</v>
      </c>
      <c r="P156" s="31">
        <v>10</v>
      </c>
      <c r="Q156" s="31">
        <v>70.661420000000007</v>
      </c>
      <c r="S156" s="31">
        <v>2.0499999999999998</v>
      </c>
      <c r="T156" s="31">
        <v>10</v>
      </c>
      <c r="U156" s="31" t="s">
        <v>465</v>
      </c>
      <c r="V156" s="31">
        <v>10</v>
      </c>
      <c r="W156" s="31">
        <f t="shared" si="26"/>
        <v>0.01</v>
      </c>
      <c r="X156" s="31" t="str">
        <f t="shared" si="23"/>
        <v>Low</v>
      </c>
      <c r="Y156" s="31" t="s">
        <v>464</v>
      </c>
      <c r="Z156" s="31">
        <f t="shared" si="27"/>
        <v>-3.1375303429129475E-2</v>
      </c>
      <c r="AA156" s="31">
        <f t="shared" si="20"/>
        <v>2.0842558345514441E-5</v>
      </c>
      <c r="AB156" s="31">
        <f t="shared" si="21"/>
        <v>8.4167223455789011E-5</v>
      </c>
      <c r="AC156" s="31">
        <f t="shared" si="25"/>
        <v>1.0500978180130345E-4</v>
      </c>
      <c r="AD156" s="31" t="s">
        <v>462</v>
      </c>
      <c r="AF156" s="31" t="s">
        <v>469</v>
      </c>
    </row>
    <row r="157" spans="1:33" s="31" customFormat="1" ht="15.75" x14ac:dyDescent="0.2">
      <c r="A157" s="31">
        <v>156</v>
      </c>
      <c r="B157" s="31">
        <v>10</v>
      </c>
      <c r="C157" s="31" t="s">
        <v>461</v>
      </c>
      <c r="D157" s="31" t="s">
        <v>177</v>
      </c>
      <c r="E157" s="31" t="s">
        <v>439</v>
      </c>
      <c r="F157" s="31" t="s">
        <v>133</v>
      </c>
      <c r="G157" s="31" t="s">
        <v>414</v>
      </c>
      <c r="H157" s="31" t="s">
        <v>167</v>
      </c>
      <c r="I157" s="31" t="s">
        <v>356</v>
      </c>
      <c r="J157" s="31">
        <v>10</v>
      </c>
      <c r="K157" s="31" t="s">
        <v>472</v>
      </c>
      <c r="L157" s="31">
        <v>10</v>
      </c>
      <c r="M157" s="31">
        <v>82.411879999999996</v>
      </c>
      <c r="O157" s="31">
        <v>1.0526400000000109</v>
      </c>
      <c r="P157" s="31">
        <v>10</v>
      </c>
      <c r="Q157" s="31">
        <v>70.661420000000007</v>
      </c>
      <c r="S157" s="31">
        <v>2.0499999999999998</v>
      </c>
      <c r="T157" s="31">
        <v>10</v>
      </c>
      <c r="U157" s="31" t="s">
        <v>465</v>
      </c>
      <c r="V157" s="31">
        <v>10</v>
      </c>
      <c r="W157" s="31">
        <f t="shared" si="26"/>
        <v>0.01</v>
      </c>
      <c r="X157" s="31" t="str">
        <f t="shared" si="23"/>
        <v>Low</v>
      </c>
      <c r="Y157" s="31" t="s">
        <v>463</v>
      </c>
      <c r="Z157" s="31">
        <f t="shared" si="27"/>
        <v>-0.15382986331595949</v>
      </c>
      <c r="AA157" s="31">
        <f t="shared" si="20"/>
        <v>1.6314737674447822E-5</v>
      </c>
      <c r="AB157" s="31">
        <f t="shared" si="21"/>
        <v>8.4167223455789011E-5</v>
      </c>
      <c r="AC157" s="31">
        <f t="shared" si="25"/>
        <v>1.0048196113023683E-4</v>
      </c>
      <c r="AD157" s="31" t="s">
        <v>462</v>
      </c>
      <c r="AF157" s="31" t="s">
        <v>469</v>
      </c>
    </row>
    <row r="158" spans="1:33" s="32" customFormat="1" ht="15.75" customHeight="1" x14ac:dyDescent="0.2">
      <c r="A158" s="32">
        <v>157</v>
      </c>
      <c r="B158" s="32">
        <v>11</v>
      </c>
      <c r="C158" s="32" t="s">
        <v>25</v>
      </c>
      <c r="D158" s="32" t="s">
        <v>473</v>
      </c>
      <c r="E158" s="32" t="s">
        <v>439</v>
      </c>
      <c r="F158" s="32" t="s">
        <v>133</v>
      </c>
      <c r="G158" s="32" t="s">
        <v>414</v>
      </c>
      <c r="H158" s="32" t="s">
        <v>478</v>
      </c>
      <c r="I158" s="32" t="s">
        <v>356</v>
      </c>
      <c r="J158" s="32">
        <v>11</v>
      </c>
      <c r="K158" s="32" t="s">
        <v>315</v>
      </c>
      <c r="L158" s="32">
        <v>5</v>
      </c>
      <c r="M158" s="32">
        <v>2.6175700000000002</v>
      </c>
      <c r="O158" s="32">
        <v>0.1958899999999999</v>
      </c>
      <c r="P158" s="32">
        <v>5</v>
      </c>
      <c r="Q158" s="32">
        <v>3.0908199999999999</v>
      </c>
      <c r="S158" s="32">
        <v>0.12379999999999999</v>
      </c>
      <c r="T158" s="32">
        <v>5</v>
      </c>
      <c r="U158" s="32" t="s">
        <v>475</v>
      </c>
      <c r="V158" s="32">
        <v>0.5</v>
      </c>
      <c r="W158" s="32">
        <f>V158/1000*1000</f>
        <v>0.5</v>
      </c>
      <c r="X158" s="32" t="str">
        <f t="shared" si="23"/>
        <v>Low</v>
      </c>
      <c r="Y158" s="32" t="s">
        <v>474</v>
      </c>
      <c r="Z158" s="32">
        <f t="shared" ref="Z158:Z169" si="28">LN(M158/Q158)</f>
        <v>-0.16619002139255415</v>
      </c>
      <c r="AA158" s="32">
        <f t="shared" si="20"/>
        <v>1.1201028931973774E-3</v>
      </c>
      <c r="AB158" s="32">
        <f t="shared" si="21"/>
        <v>3.2086611609845762E-4</v>
      </c>
      <c r="AC158" s="32">
        <f t="shared" si="25"/>
        <v>1.440969009295835E-3</v>
      </c>
      <c r="AD158" s="32" t="s">
        <v>428</v>
      </c>
      <c r="AF158" s="32" t="s">
        <v>364</v>
      </c>
      <c r="AG158" s="32" t="s">
        <v>369</v>
      </c>
    </row>
    <row r="159" spans="1:33" s="32" customFormat="1" ht="15.75" x14ac:dyDescent="0.2">
      <c r="A159" s="32">
        <v>158</v>
      </c>
      <c r="B159" s="32">
        <v>11</v>
      </c>
      <c r="C159" s="32" t="s">
        <v>25</v>
      </c>
      <c r="D159" s="32" t="s">
        <v>473</v>
      </c>
      <c r="E159" s="32" t="s">
        <v>426</v>
      </c>
      <c r="F159" s="32" t="s">
        <v>133</v>
      </c>
      <c r="G159" s="32" t="s">
        <v>168</v>
      </c>
      <c r="H159" s="32" t="s">
        <v>478</v>
      </c>
      <c r="I159" s="32" t="s">
        <v>356</v>
      </c>
      <c r="J159" s="32">
        <v>11</v>
      </c>
      <c r="K159" s="32" t="s">
        <v>315</v>
      </c>
      <c r="L159" s="32">
        <v>5</v>
      </c>
      <c r="M159" s="32">
        <v>2.55959</v>
      </c>
      <c r="O159" s="32">
        <v>0.17393999999999998</v>
      </c>
      <c r="P159" s="32">
        <v>5</v>
      </c>
      <c r="Q159" s="32">
        <v>3.0908199999999999</v>
      </c>
      <c r="S159" s="32">
        <v>0.12380000000000013</v>
      </c>
      <c r="T159" s="32">
        <v>5</v>
      </c>
      <c r="U159" s="32" t="s">
        <v>477</v>
      </c>
      <c r="V159" s="32">
        <v>5</v>
      </c>
      <c r="W159" s="32">
        <f t="shared" ref="W159:W205" si="29">V159/1000*1000</f>
        <v>5</v>
      </c>
      <c r="X159" s="32" t="str">
        <f t="shared" si="23"/>
        <v>Medium</v>
      </c>
      <c r="Y159" s="32" t="s">
        <v>474</v>
      </c>
      <c r="Z159" s="32">
        <f t="shared" si="28"/>
        <v>-0.18858933845788373</v>
      </c>
      <c r="AA159" s="32">
        <f t="shared" si="20"/>
        <v>9.2360891793546605E-4</v>
      </c>
      <c r="AB159" s="32">
        <f t="shared" si="21"/>
        <v>3.2086611609845832E-4</v>
      </c>
      <c r="AC159" s="32">
        <f t="shared" si="25"/>
        <v>1.2444750340339244E-3</v>
      </c>
      <c r="AD159" s="32" t="s">
        <v>428</v>
      </c>
      <c r="AF159" s="32" t="s">
        <v>364</v>
      </c>
    </row>
    <row r="160" spans="1:33" s="32" customFormat="1" ht="15.75" x14ac:dyDescent="0.2">
      <c r="A160" s="32">
        <v>159</v>
      </c>
      <c r="B160" s="32">
        <v>11</v>
      </c>
      <c r="C160" s="32" t="s">
        <v>25</v>
      </c>
      <c r="D160" s="32" t="s">
        <v>473</v>
      </c>
      <c r="E160" s="32" t="s">
        <v>426</v>
      </c>
      <c r="F160" s="32" t="s">
        <v>133</v>
      </c>
      <c r="G160" s="32" t="s">
        <v>168</v>
      </c>
      <c r="H160" s="32" t="s">
        <v>478</v>
      </c>
      <c r="I160" s="32" t="s">
        <v>356</v>
      </c>
      <c r="J160" s="32">
        <v>11</v>
      </c>
      <c r="K160" s="32" t="s">
        <v>315</v>
      </c>
      <c r="L160" s="32">
        <v>5</v>
      </c>
      <c r="M160" s="32">
        <v>2.4436300000000002</v>
      </c>
      <c r="O160" s="32">
        <v>5.1709999999999923E-2</v>
      </c>
      <c r="P160" s="32">
        <v>5</v>
      </c>
      <c r="Q160" s="32">
        <v>3.0908199999999999</v>
      </c>
      <c r="S160" s="32">
        <v>0.12380000000000013</v>
      </c>
      <c r="T160" s="32">
        <v>5</v>
      </c>
      <c r="U160" s="32" t="s">
        <v>476</v>
      </c>
      <c r="V160" s="32">
        <v>50</v>
      </c>
      <c r="W160" s="32">
        <f t="shared" si="29"/>
        <v>50</v>
      </c>
      <c r="X160" s="32" t="str">
        <f t="shared" si="23"/>
        <v>High</v>
      </c>
      <c r="Y160" s="32" t="s">
        <v>474</v>
      </c>
      <c r="Z160" s="32">
        <f t="shared" si="28"/>
        <v>-0.23495178918645232</v>
      </c>
      <c r="AA160" s="32">
        <f t="shared" si="20"/>
        <v>8.9558781211201033E-5</v>
      </c>
      <c r="AB160" s="32">
        <f t="shared" si="21"/>
        <v>3.2086611609845832E-4</v>
      </c>
      <c r="AC160" s="32">
        <f t="shared" si="25"/>
        <v>4.1042489730965935E-4</v>
      </c>
      <c r="AD160" s="32" t="s">
        <v>428</v>
      </c>
      <c r="AF160" s="32" t="s">
        <v>364</v>
      </c>
    </row>
    <row r="161" spans="1:32" s="32" customFormat="1" ht="15.75" x14ac:dyDescent="0.2">
      <c r="A161" s="32">
        <v>160</v>
      </c>
      <c r="B161" s="32">
        <v>11</v>
      </c>
      <c r="C161" s="32" t="s">
        <v>25</v>
      </c>
      <c r="D161" s="32" t="s">
        <v>473</v>
      </c>
      <c r="E161" s="32" t="s">
        <v>426</v>
      </c>
      <c r="F161" s="32" t="s">
        <v>133</v>
      </c>
      <c r="G161" s="32" t="s">
        <v>168</v>
      </c>
      <c r="H161" s="32" t="s">
        <v>478</v>
      </c>
      <c r="I161" s="32" t="s">
        <v>356</v>
      </c>
      <c r="J161" s="32">
        <v>11</v>
      </c>
      <c r="K161" s="32" t="s">
        <v>315</v>
      </c>
      <c r="L161" s="32">
        <v>5</v>
      </c>
      <c r="M161" s="32">
        <v>0.69787999999999994</v>
      </c>
      <c r="O161" s="32">
        <v>3.9959999999999996E-2</v>
      </c>
      <c r="P161" s="32">
        <v>5</v>
      </c>
      <c r="Q161" s="32">
        <v>0.64537999999999995</v>
      </c>
      <c r="S161" s="32">
        <v>1.4490000000000003E-2</v>
      </c>
      <c r="T161" s="32">
        <v>5</v>
      </c>
      <c r="U161" s="32" t="s">
        <v>475</v>
      </c>
      <c r="V161" s="32">
        <v>0.5</v>
      </c>
      <c r="W161" s="32">
        <f t="shared" si="29"/>
        <v>0.5</v>
      </c>
      <c r="X161" s="32" t="str">
        <f t="shared" si="23"/>
        <v>Low</v>
      </c>
      <c r="Y161" s="32" t="s">
        <v>474</v>
      </c>
      <c r="Z161" s="32">
        <f t="shared" si="28"/>
        <v>7.8207877608236429E-2</v>
      </c>
      <c r="AA161" s="32">
        <f t="shared" si="20"/>
        <v>6.5572153970398642E-4</v>
      </c>
      <c r="AB161" s="32">
        <f t="shared" si="21"/>
        <v>1.0081746222456823E-4</v>
      </c>
      <c r="AC161" s="32">
        <f t="shared" si="25"/>
        <v>7.5653900192855462E-4</v>
      </c>
      <c r="AD161" s="32" t="s">
        <v>212</v>
      </c>
      <c r="AF161" s="32" t="s">
        <v>368</v>
      </c>
    </row>
    <row r="162" spans="1:32" s="32" customFormat="1" ht="15.75" x14ac:dyDescent="0.2">
      <c r="A162" s="32">
        <v>161</v>
      </c>
      <c r="B162" s="32">
        <v>11</v>
      </c>
      <c r="C162" s="32" t="s">
        <v>25</v>
      </c>
      <c r="D162" s="32" t="s">
        <v>473</v>
      </c>
      <c r="E162" s="32" t="s">
        <v>426</v>
      </c>
      <c r="F162" s="32" t="s">
        <v>133</v>
      </c>
      <c r="G162" s="32" t="s">
        <v>168</v>
      </c>
      <c r="H162" s="32" t="s">
        <v>478</v>
      </c>
      <c r="I162" s="32" t="s">
        <v>356</v>
      </c>
      <c r="J162" s="32">
        <v>11</v>
      </c>
      <c r="K162" s="32" t="s">
        <v>315</v>
      </c>
      <c r="L162" s="32">
        <v>5</v>
      </c>
      <c r="M162" s="32">
        <v>0.72726000000000002</v>
      </c>
      <c r="O162" s="32">
        <v>3.2909999999999995E-2</v>
      </c>
      <c r="P162" s="32">
        <v>5</v>
      </c>
      <c r="Q162" s="32">
        <v>0.64537999999999995</v>
      </c>
      <c r="S162" s="32">
        <v>1.4490000000000003E-2</v>
      </c>
      <c r="T162" s="32">
        <v>5</v>
      </c>
      <c r="U162" s="32" t="s">
        <v>477</v>
      </c>
      <c r="V162" s="32">
        <v>5</v>
      </c>
      <c r="W162" s="32">
        <f t="shared" si="29"/>
        <v>5</v>
      </c>
      <c r="X162" s="32" t="str">
        <f t="shared" si="23"/>
        <v>Medium</v>
      </c>
      <c r="Y162" s="32" t="s">
        <v>474</v>
      </c>
      <c r="Z162" s="32">
        <f t="shared" si="28"/>
        <v>0.11944475710701115</v>
      </c>
      <c r="AA162" s="32">
        <f t="shared" si="20"/>
        <v>4.0954945941815488E-4</v>
      </c>
      <c r="AB162" s="32">
        <f t="shared" si="21"/>
        <v>1.0081746222456823E-4</v>
      </c>
      <c r="AC162" s="32">
        <f t="shared" si="25"/>
        <v>5.1036692164272313E-4</v>
      </c>
      <c r="AD162" s="32" t="s">
        <v>212</v>
      </c>
      <c r="AF162" s="32" t="s">
        <v>368</v>
      </c>
    </row>
    <row r="163" spans="1:32" s="32" customFormat="1" ht="15.75" x14ac:dyDescent="0.2">
      <c r="A163" s="32">
        <v>162</v>
      </c>
      <c r="B163" s="32">
        <v>11</v>
      </c>
      <c r="C163" s="32" t="s">
        <v>25</v>
      </c>
      <c r="D163" s="32" t="s">
        <v>473</v>
      </c>
      <c r="E163" s="32" t="s">
        <v>426</v>
      </c>
      <c r="F163" s="32" t="s">
        <v>133</v>
      </c>
      <c r="G163" s="32" t="s">
        <v>168</v>
      </c>
      <c r="H163" s="32" t="s">
        <v>140</v>
      </c>
      <c r="I163" s="32" t="s">
        <v>356</v>
      </c>
      <c r="J163" s="32">
        <v>11</v>
      </c>
      <c r="K163" s="32" t="s">
        <v>315</v>
      </c>
      <c r="L163" s="32">
        <v>5</v>
      </c>
      <c r="M163" s="32">
        <v>0.80874999999999997</v>
      </c>
      <c r="O163" s="32">
        <v>1.646000000000003E-2</v>
      </c>
      <c r="P163" s="32">
        <v>5</v>
      </c>
      <c r="Q163" s="32">
        <v>0.64537999999999995</v>
      </c>
      <c r="S163" s="32">
        <v>1.4490000000000003E-2</v>
      </c>
      <c r="T163" s="32">
        <v>5</v>
      </c>
      <c r="U163" s="32" t="s">
        <v>476</v>
      </c>
      <c r="V163" s="32">
        <v>50</v>
      </c>
      <c r="W163" s="32">
        <f t="shared" si="29"/>
        <v>50</v>
      </c>
      <c r="X163" s="32" t="str">
        <f t="shared" si="23"/>
        <v>High</v>
      </c>
      <c r="Y163" s="32" t="s">
        <v>474</v>
      </c>
      <c r="Z163" s="32">
        <f t="shared" si="28"/>
        <v>0.22565055521164587</v>
      </c>
      <c r="AA163" s="32">
        <f t="shared" si="20"/>
        <v>8.2844001920647027E-5</v>
      </c>
      <c r="AB163" s="32">
        <f t="shared" si="21"/>
        <v>1.0081746222456823E-4</v>
      </c>
      <c r="AC163" s="32">
        <f t="shared" si="25"/>
        <v>1.8366146414521527E-4</v>
      </c>
      <c r="AD163" s="32" t="s">
        <v>212</v>
      </c>
      <c r="AF163" s="32" t="s">
        <v>368</v>
      </c>
    </row>
    <row r="164" spans="1:32" s="32" customFormat="1" ht="15.75" x14ac:dyDescent="0.2">
      <c r="A164" s="32">
        <v>163</v>
      </c>
      <c r="B164" s="32">
        <v>11</v>
      </c>
      <c r="C164" s="32" t="s">
        <v>25</v>
      </c>
      <c r="D164" s="32" t="s">
        <v>473</v>
      </c>
      <c r="E164" s="32" t="s">
        <v>426</v>
      </c>
      <c r="F164" s="32" t="s">
        <v>133</v>
      </c>
      <c r="G164" s="32" t="s">
        <v>168</v>
      </c>
      <c r="H164" s="32" t="s">
        <v>140</v>
      </c>
      <c r="I164" s="32" t="s">
        <v>356</v>
      </c>
      <c r="J164" s="32">
        <v>11</v>
      </c>
      <c r="K164" s="32" t="s">
        <v>315</v>
      </c>
      <c r="L164" s="32">
        <v>5</v>
      </c>
      <c r="M164" s="32">
        <v>89.788970000000006</v>
      </c>
      <c r="O164" s="32">
        <v>2.2330600000000089</v>
      </c>
      <c r="P164" s="32">
        <v>5</v>
      </c>
      <c r="Q164" s="32">
        <v>101.77697000000001</v>
      </c>
      <c r="S164" s="32">
        <v>1.0577600000000018</v>
      </c>
      <c r="T164" s="32">
        <v>5</v>
      </c>
      <c r="U164" s="32" t="s">
        <v>475</v>
      </c>
      <c r="V164" s="32">
        <v>0.5</v>
      </c>
      <c r="W164" s="32">
        <f t="shared" si="29"/>
        <v>0.5</v>
      </c>
      <c r="X164" s="32" t="str">
        <f t="shared" si="23"/>
        <v>Low</v>
      </c>
      <c r="Y164" s="32" t="s">
        <v>474</v>
      </c>
      <c r="Z164" s="32">
        <f t="shared" si="28"/>
        <v>-0.12532171136887268</v>
      </c>
      <c r="AA164" s="32">
        <f t="shared" si="20"/>
        <v>1.2370430136836999E-4</v>
      </c>
      <c r="AB164" s="32">
        <f t="shared" si="21"/>
        <v>2.1602561021805015E-5</v>
      </c>
      <c r="AC164" s="32">
        <f t="shared" si="25"/>
        <v>1.45306862390175E-4</v>
      </c>
      <c r="AD164" s="32" t="s">
        <v>212</v>
      </c>
      <c r="AF164" s="32" t="s">
        <v>479</v>
      </c>
    </row>
    <row r="165" spans="1:32" s="32" customFormat="1" ht="15.75" x14ac:dyDescent="0.2">
      <c r="A165" s="32">
        <v>164</v>
      </c>
      <c r="B165" s="32">
        <v>11</v>
      </c>
      <c r="C165" s="32" t="s">
        <v>25</v>
      </c>
      <c r="D165" s="32" t="s">
        <v>473</v>
      </c>
      <c r="E165" s="32" t="s">
        <v>426</v>
      </c>
      <c r="F165" s="32" t="s">
        <v>133</v>
      </c>
      <c r="G165" s="32" t="s">
        <v>168</v>
      </c>
      <c r="H165" s="32" t="s">
        <v>140</v>
      </c>
      <c r="I165" s="32" t="s">
        <v>356</v>
      </c>
      <c r="J165" s="32">
        <v>11</v>
      </c>
      <c r="K165" s="32" t="s">
        <v>315</v>
      </c>
      <c r="L165" s="32">
        <v>5</v>
      </c>
      <c r="M165" s="32">
        <v>98.486140000000006</v>
      </c>
      <c r="O165" s="32">
        <v>2.1155200000000036</v>
      </c>
      <c r="P165" s="32">
        <v>5</v>
      </c>
      <c r="Q165" s="32">
        <v>101.77697000000001</v>
      </c>
      <c r="S165" s="32">
        <v>1.0577600000000018</v>
      </c>
      <c r="T165" s="32">
        <v>5</v>
      </c>
      <c r="U165" s="32" t="s">
        <v>477</v>
      </c>
      <c r="V165" s="32">
        <v>5</v>
      </c>
      <c r="W165" s="32">
        <f t="shared" si="29"/>
        <v>5</v>
      </c>
      <c r="X165" s="32" t="str">
        <f t="shared" si="23"/>
        <v>Medium</v>
      </c>
      <c r="Y165" s="32" t="s">
        <v>474</v>
      </c>
      <c r="Z165" s="32">
        <f t="shared" si="28"/>
        <v>-3.2868023007721556E-2</v>
      </c>
      <c r="AA165" s="32">
        <f t="shared" si="20"/>
        <v>9.2281370120476483E-5</v>
      </c>
      <c r="AB165" s="32">
        <f t="shared" si="21"/>
        <v>2.1602561021805015E-5</v>
      </c>
      <c r="AC165" s="32">
        <f t="shared" si="25"/>
        <v>1.1388393114228151E-4</v>
      </c>
      <c r="AD165" s="32" t="s">
        <v>212</v>
      </c>
      <c r="AF165" s="32" t="s">
        <v>479</v>
      </c>
    </row>
    <row r="166" spans="1:32" s="32" customFormat="1" ht="15.75" x14ac:dyDescent="0.2">
      <c r="A166" s="32">
        <v>165</v>
      </c>
      <c r="B166" s="32">
        <v>11</v>
      </c>
      <c r="C166" s="32" t="s">
        <v>25</v>
      </c>
      <c r="D166" s="32" t="s">
        <v>473</v>
      </c>
      <c r="E166" s="32" t="s">
        <v>426</v>
      </c>
      <c r="F166" s="32" t="s">
        <v>133</v>
      </c>
      <c r="G166" s="32" t="s">
        <v>168</v>
      </c>
      <c r="H166" s="32" t="s">
        <v>140</v>
      </c>
      <c r="I166" s="32" t="s">
        <v>356</v>
      </c>
      <c r="J166" s="32">
        <v>11</v>
      </c>
      <c r="K166" s="32" t="s">
        <v>315</v>
      </c>
      <c r="L166" s="32">
        <v>5</v>
      </c>
      <c r="M166" s="32">
        <v>70.631690000000006</v>
      </c>
      <c r="O166" s="32">
        <v>2.2330599999999947</v>
      </c>
      <c r="P166" s="32">
        <v>5</v>
      </c>
      <c r="Q166" s="32">
        <v>101.77697000000001</v>
      </c>
      <c r="S166" s="32">
        <v>1.0577600000000018</v>
      </c>
      <c r="T166" s="32">
        <v>5</v>
      </c>
      <c r="U166" s="32" t="s">
        <v>476</v>
      </c>
      <c r="V166" s="32">
        <v>50</v>
      </c>
      <c r="W166" s="32">
        <f t="shared" si="29"/>
        <v>50</v>
      </c>
      <c r="X166" s="32" t="str">
        <f t="shared" si="23"/>
        <v>High</v>
      </c>
      <c r="Y166" s="32" t="s">
        <v>474</v>
      </c>
      <c r="Z166" s="32">
        <f t="shared" si="28"/>
        <v>-0.365304939981063</v>
      </c>
      <c r="AA166" s="32">
        <f t="shared" si="20"/>
        <v>1.9990864927914675E-4</v>
      </c>
      <c r="AB166" s="32">
        <f t="shared" si="21"/>
        <v>2.1602561021805015E-5</v>
      </c>
      <c r="AC166" s="32">
        <f t="shared" si="25"/>
        <v>2.2151121030095176E-4</v>
      </c>
      <c r="AD166" s="32" t="s">
        <v>212</v>
      </c>
      <c r="AF166" s="32" t="s">
        <v>479</v>
      </c>
    </row>
    <row r="167" spans="1:32" s="32" customFormat="1" ht="15.75" x14ac:dyDescent="0.2">
      <c r="A167" s="32">
        <v>166</v>
      </c>
      <c r="B167" s="32">
        <v>11</v>
      </c>
      <c r="C167" s="32" t="s">
        <v>25</v>
      </c>
      <c r="D167" s="32" t="s">
        <v>473</v>
      </c>
      <c r="E167" s="32" t="s">
        <v>426</v>
      </c>
      <c r="F167" s="32" t="s">
        <v>133</v>
      </c>
      <c r="G167" s="32" t="s">
        <v>168</v>
      </c>
      <c r="H167" s="32" t="s">
        <v>140</v>
      </c>
      <c r="I167" s="32" t="s">
        <v>356</v>
      </c>
      <c r="J167" s="32">
        <v>11</v>
      </c>
      <c r="K167" s="32" t="s">
        <v>315</v>
      </c>
      <c r="L167" s="32">
        <v>5</v>
      </c>
      <c r="M167" s="32">
        <v>107.72949</v>
      </c>
      <c r="O167" s="32">
        <v>55.434679999999986</v>
      </c>
      <c r="P167" s="32">
        <v>5</v>
      </c>
      <c r="Q167" s="32">
        <v>101.46126</v>
      </c>
      <c r="S167" s="32">
        <v>14.495290000000011</v>
      </c>
      <c r="T167" s="32">
        <v>5</v>
      </c>
      <c r="U167" s="32" t="s">
        <v>475</v>
      </c>
      <c r="V167" s="32">
        <v>0.5</v>
      </c>
      <c r="W167" s="32">
        <f t="shared" si="29"/>
        <v>0.5</v>
      </c>
      <c r="X167" s="32" t="str">
        <f t="shared" si="23"/>
        <v>Low</v>
      </c>
      <c r="Y167" s="32" t="s">
        <v>474</v>
      </c>
      <c r="Z167" s="32">
        <f t="shared" si="28"/>
        <v>5.9946312088929775E-2</v>
      </c>
      <c r="AA167" s="32">
        <f t="shared" si="20"/>
        <v>5.2957061363266722E-2</v>
      </c>
      <c r="AB167" s="32">
        <f t="shared" si="21"/>
        <v>4.0820969029644865E-3</v>
      </c>
      <c r="AC167" s="32">
        <f t="shared" si="25"/>
        <v>5.703915826623121E-2</v>
      </c>
      <c r="AD167" s="32" t="s">
        <v>212</v>
      </c>
      <c r="AF167" s="32" t="s">
        <v>480</v>
      </c>
    </row>
    <row r="168" spans="1:32" s="32" customFormat="1" ht="15.75" x14ac:dyDescent="0.2">
      <c r="A168" s="32">
        <v>167</v>
      </c>
      <c r="B168" s="32">
        <v>11</v>
      </c>
      <c r="C168" s="32" t="s">
        <v>25</v>
      </c>
      <c r="D168" s="32" t="s">
        <v>473</v>
      </c>
      <c r="E168" s="32" t="s">
        <v>426</v>
      </c>
      <c r="F168" s="32" t="s">
        <v>133</v>
      </c>
      <c r="G168" s="32" t="s">
        <v>168</v>
      </c>
      <c r="H168" s="32" t="s">
        <v>140</v>
      </c>
      <c r="I168" s="32" t="s">
        <v>356</v>
      </c>
      <c r="J168" s="32">
        <v>11</v>
      </c>
      <c r="K168" s="32" t="s">
        <v>315</v>
      </c>
      <c r="L168" s="32">
        <v>5</v>
      </c>
      <c r="M168" s="32">
        <v>76.975980000000007</v>
      </c>
      <c r="O168" s="32">
        <v>19.979990000000001</v>
      </c>
      <c r="P168" s="32">
        <v>5</v>
      </c>
      <c r="Q168" s="32">
        <v>101.46126</v>
      </c>
      <c r="S168" s="32">
        <v>14.495290000000011</v>
      </c>
      <c r="T168" s="32">
        <v>5</v>
      </c>
      <c r="U168" s="32" t="s">
        <v>477</v>
      </c>
      <c r="V168" s="32">
        <v>5</v>
      </c>
      <c r="W168" s="32">
        <f t="shared" si="29"/>
        <v>5</v>
      </c>
      <c r="X168" s="32" t="str">
        <f t="shared" si="23"/>
        <v>Medium</v>
      </c>
      <c r="Y168" s="32" t="s">
        <v>474</v>
      </c>
      <c r="Z168" s="32">
        <f t="shared" si="28"/>
        <v>-0.2761836256127787</v>
      </c>
      <c r="AA168" s="32">
        <f t="shared" si="20"/>
        <v>1.3474419845298477E-2</v>
      </c>
      <c r="AB168" s="32">
        <f t="shared" si="21"/>
        <v>4.0820969029644865E-3</v>
      </c>
      <c r="AC168" s="32">
        <f t="shared" si="25"/>
        <v>1.7556516748262963E-2</v>
      </c>
      <c r="AD168" s="32" t="s">
        <v>212</v>
      </c>
      <c r="AF168" s="32" t="s">
        <v>480</v>
      </c>
    </row>
    <row r="169" spans="1:32" s="32" customFormat="1" ht="15.75" x14ac:dyDescent="0.2">
      <c r="A169" s="32">
        <v>168</v>
      </c>
      <c r="B169" s="32">
        <v>11</v>
      </c>
      <c r="C169" s="32" t="s">
        <v>25</v>
      </c>
      <c r="D169" s="32" t="s">
        <v>473</v>
      </c>
      <c r="E169" s="32" t="s">
        <v>426</v>
      </c>
      <c r="F169" s="32" t="s">
        <v>133</v>
      </c>
      <c r="G169" s="32" t="s">
        <v>168</v>
      </c>
      <c r="H169" s="32" t="s">
        <v>140</v>
      </c>
      <c r="I169" s="32" t="s">
        <v>356</v>
      </c>
      <c r="J169" s="32">
        <v>11</v>
      </c>
      <c r="K169" s="32" t="s">
        <v>315</v>
      </c>
      <c r="L169" s="32">
        <v>5</v>
      </c>
      <c r="M169" s="32">
        <v>65.027159999999995</v>
      </c>
      <c r="O169" s="32">
        <v>1.7629400000000004</v>
      </c>
      <c r="P169" s="32">
        <v>5</v>
      </c>
      <c r="Q169" s="32">
        <v>101.46126</v>
      </c>
      <c r="S169" s="32">
        <v>14.495290000000011</v>
      </c>
      <c r="T169" s="32">
        <v>5</v>
      </c>
      <c r="U169" s="32" t="s">
        <v>476</v>
      </c>
      <c r="V169" s="32">
        <v>50</v>
      </c>
      <c r="W169" s="32">
        <f t="shared" si="29"/>
        <v>50</v>
      </c>
      <c r="X169" s="32" t="str">
        <f t="shared" si="23"/>
        <v>High</v>
      </c>
      <c r="Y169" s="32" t="s">
        <v>474</v>
      </c>
      <c r="Z169" s="32">
        <f t="shared" si="28"/>
        <v>-0.44487202197251058</v>
      </c>
      <c r="AA169" s="32">
        <f t="shared" si="20"/>
        <v>1.469993739394352E-4</v>
      </c>
      <c r="AB169" s="32">
        <f t="shared" si="21"/>
        <v>4.0820969029644865E-3</v>
      </c>
      <c r="AC169" s="32">
        <f t="shared" si="25"/>
        <v>4.2290962769039216E-3</v>
      </c>
      <c r="AD169" s="32" t="s">
        <v>212</v>
      </c>
      <c r="AF169" s="32" t="s">
        <v>480</v>
      </c>
    </row>
    <row r="170" spans="1:32" s="32" customFormat="1" ht="15.75" x14ac:dyDescent="0.2">
      <c r="A170" s="32">
        <v>169</v>
      </c>
      <c r="B170" s="32">
        <v>11</v>
      </c>
      <c r="C170" s="32" t="s">
        <v>25</v>
      </c>
      <c r="D170" s="32" t="s">
        <v>473</v>
      </c>
      <c r="E170" s="32" t="s">
        <v>426</v>
      </c>
      <c r="F170" s="32" t="s">
        <v>133</v>
      </c>
      <c r="G170" s="32" t="s">
        <v>168</v>
      </c>
      <c r="H170" s="32" t="s">
        <v>140</v>
      </c>
      <c r="I170" s="32" t="s">
        <v>356</v>
      </c>
      <c r="J170" s="32">
        <v>11</v>
      </c>
      <c r="K170" s="32" t="s">
        <v>315</v>
      </c>
      <c r="L170" s="32">
        <v>5</v>
      </c>
      <c r="M170" s="32">
        <v>0.65227000000000002</v>
      </c>
      <c r="O170" s="32">
        <v>0.15954000000000002</v>
      </c>
      <c r="P170" s="32">
        <v>5</v>
      </c>
      <c r="Q170" s="32">
        <v>0.99885999999999997</v>
      </c>
      <c r="S170" s="32">
        <v>0.15221000000000007</v>
      </c>
      <c r="T170" s="32">
        <v>5</v>
      </c>
      <c r="U170" s="32" t="s">
        <v>475</v>
      </c>
      <c r="V170" s="32">
        <v>0.5</v>
      </c>
      <c r="W170" s="32">
        <f t="shared" si="29"/>
        <v>0.5</v>
      </c>
      <c r="X170" s="32" t="str">
        <f t="shared" si="23"/>
        <v>Low</v>
      </c>
      <c r="Y170" s="32" t="s">
        <v>474</v>
      </c>
      <c r="Z170" s="32">
        <f t="shared" ref="Z170:Z175" si="30">(LN(M170/Q170))*-1</f>
        <v>0.42615604205182528</v>
      </c>
      <c r="AA170" s="32">
        <f t="shared" si="20"/>
        <v>1.1965045716935503E-2</v>
      </c>
      <c r="AB170" s="32">
        <f t="shared" si="21"/>
        <v>4.6441594680374856E-3</v>
      </c>
      <c r="AC170" s="32">
        <f t="shared" si="25"/>
        <v>1.660920518497299E-2</v>
      </c>
      <c r="AD170" s="32" t="s">
        <v>212</v>
      </c>
      <c r="AF170" s="32" t="s">
        <v>190</v>
      </c>
    </row>
    <row r="171" spans="1:32" s="32" customFormat="1" ht="15.75" x14ac:dyDescent="0.2">
      <c r="A171" s="32">
        <v>170</v>
      </c>
      <c r="B171" s="32">
        <v>11</v>
      </c>
      <c r="C171" s="32" t="s">
        <v>25</v>
      </c>
      <c r="D171" s="32" t="s">
        <v>473</v>
      </c>
      <c r="E171" s="32" t="s">
        <v>426</v>
      </c>
      <c r="F171" s="32" t="s">
        <v>133</v>
      </c>
      <c r="G171" s="32" t="s">
        <v>168</v>
      </c>
      <c r="H171" s="32" t="s">
        <v>140</v>
      </c>
      <c r="I171" s="32" t="s">
        <v>356</v>
      </c>
      <c r="J171" s="32">
        <v>11</v>
      </c>
      <c r="K171" s="32" t="s">
        <v>315</v>
      </c>
      <c r="L171" s="32">
        <v>5</v>
      </c>
      <c r="M171" s="32">
        <v>1.00803</v>
      </c>
      <c r="O171" s="32">
        <v>0.32826</v>
      </c>
      <c r="P171" s="32">
        <v>5</v>
      </c>
      <c r="Q171" s="32">
        <v>0.99885999999999997</v>
      </c>
      <c r="S171" s="32">
        <v>0.15221000000000007</v>
      </c>
      <c r="T171" s="32">
        <v>5</v>
      </c>
      <c r="U171" s="32" t="s">
        <v>477</v>
      </c>
      <c r="V171" s="32">
        <v>5</v>
      </c>
      <c r="W171" s="32">
        <f t="shared" si="29"/>
        <v>5</v>
      </c>
      <c r="X171" s="32" t="str">
        <f t="shared" si="23"/>
        <v>Medium</v>
      </c>
      <c r="Y171" s="32" t="s">
        <v>474</v>
      </c>
      <c r="Z171" s="32">
        <f t="shared" si="30"/>
        <v>-9.1385814053327793E-3</v>
      </c>
      <c r="AA171" s="32">
        <f t="shared" si="20"/>
        <v>2.1208942334419448E-2</v>
      </c>
      <c r="AB171" s="32">
        <f t="shared" si="21"/>
        <v>4.6441594680374856E-3</v>
      </c>
      <c r="AC171" s="32">
        <f t="shared" si="25"/>
        <v>2.5853101802456934E-2</v>
      </c>
      <c r="AD171" s="32" t="s">
        <v>212</v>
      </c>
      <c r="AF171" s="32" t="s">
        <v>190</v>
      </c>
    </row>
    <row r="172" spans="1:32" s="32" customFormat="1" ht="15.75" x14ac:dyDescent="0.2">
      <c r="A172" s="32">
        <v>171</v>
      </c>
      <c r="B172" s="32">
        <v>11</v>
      </c>
      <c r="C172" s="32" t="s">
        <v>25</v>
      </c>
      <c r="D172" s="32" t="s">
        <v>473</v>
      </c>
      <c r="E172" s="32" t="s">
        <v>426</v>
      </c>
      <c r="F172" s="32" t="s">
        <v>133</v>
      </c>
      <c r="G172" s="32" t="s">
        <v>168</v>
      </c>
      <c r="H172" s="32" t="s">
        <v>140</v>
      </c>
      <c r="I172" s="32" t="s">
        <v>356</v>
      </c>
      <c r="J172" s="32">
        <v>11</v>
      </c>
      <c r="K172" s="32" t="s">
        <v>315</v>
      </c>
      <c r="L172" s="32">
        <v>5</v>
      </c>
      <c r="M172" s="32">
        <v>0.73295999999999994</v>
      </c>
      <c r="O172" s="32">
        <v>0.24023000000000005</v>
      </c>
      <c r="P172" s="32">
        <v>5</v>
      </c>
      <c r="Q172" s="32">
        <v>0.99885999999999997</v>
      </c>
      <c r="S172" s="32">
        <v>0.15221000000000007</v>
      </c>
      <c r="T172" s="32">
        <v>5</v>
      </c>
      <c r="U172" s="32" t="s">
        <v>476</v>
      </c>
      <c r="V172" s="32">
        <v>50</v>
      </c>
      <c r="W172" s="32">
        <f t="shared" si="29"/>
        <v>50</v>
      </c>
      <c r="X172" s="32" t="str">
        <f t="shared" si="23"/>
        <v>High</v>
      </c>
      <c r="Y172" s="32" t="s">
        <v>474</v>
      </c>
      <c r="Z172" s="32">
        <f t="shared" si="30"/>
        <v>0.30952349854943445</v>
      </c>
      <c r="AA172" s="32">
        <f t="shared" si="20"/>
        <v>2.1484434620606535E-2</v>
      </c>
      <c r="AB172" s="32">
        <f t="shared" si="21"/>
        <v>4.6441594680374856E-3</v>
      </c>
      <c r="AC172" s="32">
        <f t="shared" si="25"/>
        <v>2.6128594088644021E-2</v>
      </c>
      <c r="AD172" s="32" t="s">
        <v>212</v>
      </c>
      <c r="AF172" s="32" t="s">
        <v>190</v>
      </c>
    </row>
    <row r="173" spans="1:32" s="32" customFormat="1" ht="15.75" x14ac:dyDescent="0.2">
      <c r="A173" s="32">
        <v>172</v>
      </c>
      <c r="B173" s="32">
        <v>11</v>
      </c>
      <c r="C173" s="32" t="s">
        <v>25</v>
      </c>
      <c r="D173" s="32" t="s">
        <v>473</v>
      </c>
      <c r="E173" s="32" t="s">
        <v>426</v>
      </c>
      <c r="F173" s="32" t="s">
        <v>133</v>
      </c>
      <c r="G173" s="32" t="s">
        <v>168</v>
      </c>
      <c r="H173" s="32" t="s">
        <v>140</v>
      </c>
      <c r="I173" s="32" t="s">
        <v>356</v>
      </c>
      <c r="J173" s="32">
        <v>11</v>
      </c>
      <c r="K173" s="32" t="s">
        <v>315</v>
      </c>
      <c r="L173" s="32">
        <v>5</v>
      </c>
      <c r="M173" s="32">
        <v>2.2870900000000001</v>
      </c>
      <c r="O173" s="32">
        <v>0.47434999999999983</v>
      </c>
      <c r="P173" s="32">
        <v>5</v>
      </c>
      <c r="Q173" s="32">
        <v>1.0058400000000001</v>
      </c>
      <c r="S173" s="32">
        <v>0.11736999999999997</v>
      </c>
      <c r="T173" s="32">
        <v>5</v>
      </c>
      <c r="U173" s="32" t="s">
        <v>475</v>
      </c>
      <c r="V173" s="32">
        <v>0.5</v>
      </c>
      <c r="W173" s="32">
        <f t="shared" si="29"/>
        <v>0.5</v>
      </c>
      <c r="X173" s="32" t="str">
        <f t="shared" si="23"/>
        <v>Low</v>
      </c>
      <c r="Y173" s="32" t="s">
        <v>474</v>
      </c>
      <c r="Z173" s="32">
        <f t="shared" si="30"/>
        <v>-0.82145725382756563</v>
      </c>
      <c r="AA173" s="32">
        <f t="shared" si="20"/>
        <v>8.6032252842186355E-3</v>
      </c>
      <c r="AB173" s="32">
        <f t="shared" si="21"/>
        <v>2.7232430236465393E-3</v>
      </c>
      <c r="AC173" s="32">
        <f t="shared" si="25"/>
        <v>1.1326468307865175E-2</v>
      </c>
      <c r="AD173" s="32" t="s">
        <v>212</v>
      </c>
      <c r="AF173" s="32" t="s">
        <v>481</v>
      </c>
    </row>
    <row r="174" spans="1:32" s="32" customFormat="1" ht="15.75" x14ac:dyDescent="0.2">
      <c r="A174" s="32">
        <v>173</v>
      </c>
      <c r="B174" s="32">
        <v>11</v>
      </c>
      <c r="C174" s="32" t="s">
        <v>25</v>
      </c>
      <c r="D174" s="32" t="s">
        <v>473</v>
      </c>
      <c r="E174" s="32" t="s">
        <v>426</v>
      </c>
      <c r="F174" s="32" t="s">
        <v>133</v>
      </c>
      <c r="G174" s="32" t="s">
        <v>168</v>
      </c>
      <c r="H174" s="32" t="s">
        <v>140</v>
      </c>
      <c r="I174" s="32" t="s">
        <v>356</v>
      </c>
      <c r="J174" s="32">
        <v>11</v>
      </c>
      <c r="K174" s="32" t="s">
        <v>315</v>
      </c>
      <c r="L174" s="32">
        <v>5</v>
      </c>
      <c r="M174" s="32">
        <v>2.07192</v>
      </c>
      <c r="O174" s="32">
        <v>0.92425000000000024</v>
      </c>
      <c r="P174" s="32">
        <v>5</v>
      </c>
      <c r="Q174" s="32">
        <v>1.0058400000000001</v>
      </c>
      <c r="S174" s="32">
        <v>0.11736999999999997</v>
      </c>
      <c r="T174" s="32">
        <v>5</v>
      </c>
      <c r="U174" s="32" t="s">
        <v>477</v>
      </c>
      <c r="V174" s="32">
        <v>5</v>
      </c>
      <c r="W174" s="32">
        <f t="shared" si="29"/>
        <v>5</v>
      </c>
      <c r="X174" s="32" t="str">
        <f t="shared" si="23"/>
        <v>Medium</v>
      </c>
      <c r="Y174" s="32" t="s">
        <v>474</v>
      </c>
      <c r="Z174" s="32">
        <f t="shared" si="30"/>
        <v>-0.72265270031045103</v>
      </c>
      <c r="AA174" s="32">
        <f t="shared" si="20"/>
        <v>3.9798155897798726E-2</v>
      </c>
      <c r="AB174" s="32">
        <f t="shared" si="21"/>
        <v>2.7232430236465393E-3</v>
      </c>
      <c r="AC174" s="32">
        <f t="shared" si="25"/>
        <v>4.2521398921445262E-2</v>
      </c>
      <c r="AD174" s="32" t="s">
        <v>212</v>
      </c>
      <c r="AF174" s="32" t="s">
        <v>481</v>
      </c>
    </row>
    <row r="175" spans="1:32" s="32" customFormat="1" ht="15.75" x14ac:dyDescent="0.2">
      <c r="A175" s="32">
        <v>174</v>
      </c>
      <c r="B175" s="32">
        <v>11</v>
      </c>
      <c r="C175" s="32" t="s">
        <v>25</v>
      </c>
      <c r="D175" s="32" t="s">
        <v>473</v>
      </c>
      <c r="E175" s="32" t="s">
        <v>426</v>
      </c>
      <c r="F175" s="32" t="s">
        <v>133</v>
      </c>
      <c r="G175" s="32" t="s">
        <v>168</v>
      </c>
      <c r="H175" s="32" t="s">
        <v>140</v>
      </c>
      <c r="I175" s="32" t="s">
        <v>356</v>
      </c>
      <c r="J175" s="32">
        <v>11</v>
      </c>
      <c r="K175" s="32" t="s">
        <v>315</v>
      </c>
      <c r="L175" s="32">
        <v>5</v>
      </c>
      <c r="M175" s="32">
        <v>1.26502</v>
      </c>
      <c r="O175" s="32">
        <v>0.49880999999999998</v>
      </c>
      <c r="P175" s="32">
        <v>5</v>
      </c>
      <c r="Q175" s="32">
        <v>1.0058400000000001</v>
      </c>
      <c r="S175" s="32">
        <v>0.11736999999999997</v>
      </c>
      <c r="T175" s="32">
        <v>5</v>
      </c>
      <c r="U175" s="32" t="s">
        <v>476</v>
      </c>
      <c r="V175" s="32">
        <v>50</v>
      </c>
      <c r="W175" s="32">
        <f t="shared" si="29"/>
        <v>50</v>
      </c>
      <c r="X175" s="32" t="str">
        <f t="shared" si="23"/>
        <v>High</v>
      </c>
      <c r="Y175" s="32" t="s">
        <v>474</v>
      </c>
      <c r="Z175" s="32">
        <f t="shared" si="30"/>
        <v>-0.22926491902839358</v>
      </c>
      <c r="AA175" s="32">
        <f t="shared" si="20"/>
        <v>3.1096070706546776E-2</v>
      </c>
      <c r="AB175" s="32">
        <f t="shared" si="21"/>
        <v>2.7232430236465393E-3</v>
      </c>
      <c r="AC175" s="32">
        <f t="shared" si="25"/>
        <v>3.3819313730193312E-2</v>
      </c>
      <c r="AD175" s="32" t="s">
        <v>212</v>
      </c>
      <c r="AF175" s="32" t="s">
        <v>481</v>
      </c>
    </row>
    <row r="176" spans="1:32" s="32" customFormat="1" ht="15.75" x14ac:dyDescent="0.2">
      <c r="A176" s="32">
        <v>175</v>
      </c>
      <c r="B176" s="32">
        <v>11</v>
      </c>
      <c r="C176" s="32" t="s">
        <v>25</v>
      </c>
      <c r="D176" s="32" t="s">
        <v>473</v>
      </c>
      <c r="E176" s="32" t="s">
        <v>426</v>
      </c>
      <c r="F176" s="32" t="s">
        <v>133</v>
      </c>
      <c r="G176" s="32" t="s">
        <v>168</v>
      </c>
      <c r="H176" s="32" t="s">
        <v>140</v>
      </c>
      <c r="I176" s="32" t="s">
        <v>356</v>
      </c>
      <c r="J176" s="32">
        <v>11</v>
      </c>
      <c r="K176" s="32" t="s">
        <v>315</v>
      </c>
      <c r="L176" s="32">
        <v>5</v>
      </c>
      <c r="M176" s="32">
        <v>0.81893000000000005</v>
      </c>
      <c r="O176" s="32">
        <v>9.9029999999999951E-2</v>
      </c>
      <c r="P176" s="32">
        <v>5</v>
      </c>
      <c r="Q176" s="32">
        <v>1.0408299999999999</v>
      </c>
      <c r="S176" s="32">
        <v>0.22372999999999998</v>
      </c>
      <c r="T176" s="32">
        <v>5</v>
      </c>
      <c r="U176" s="32" t="s">
        <v>475</v>
      </c>
      <c r="V176" s="32">
        <v>0.5</v>
      </c>
      <c r="W176" s="32">
        <f t="shared" si="29"/>
        <v>0.5</v>
      </c>
      <c r="X176" s="32" t="str">
        <f t="shared" si="23"/>
        <v>Low</v>
      </c>
      <c r="Y176" s="32" t="s">
        <v>474</v>
      </c>
      <c r="Z176" s="32">
        <f>LN(M176/Q176)</f>
        <v>-0.23977514064962166</v>
      </c>
      <c r="AA176" s="32">
        <f t="shared" si="20"/>
        <v>2.9246236782106967E-3</v>
      </c>
      <c r="AB176" s="32">
        <f t="shared" si="21"/>
        <v>9.2409971859607944E-3</v>
      </c>
      <c r="AC176" s="32">
        <f t="shared" si="25"/>
        <v>1.2165620864171492E-2</v>
      </c>
      <c r="AD176" s="32" t="s">
        <v>212</v>
      </c>
      <c r="AF176" s="32" t="s">
        <v>482</v>
      </c>
    </row>
    <row r="177" spans="1:32" s="32" customFormat="1" ht="15.75" x14ac:dyDescent="0.2">
      <c r="A177" s="32">
        <v>176</v>
      </c>
      <c r="B177" s="32">
        <v>11</v>
      </c>
      <c r="C177" s="32" t="s">
        <v>25</v>
      </c>
      <c r="D177" s="32" t="s">
        <v>473</v>
      </c>
      <c r="E177" s="32" t="s">
        <v>426</v>
      </c>
      <c r="F177" s="32" t="s">
        <v>133</v>
      </c>
      <c r="G177" s="32" t="s">
        <v>168</v>
      </c>
      <c r="H177" s="32" t="s">
        <v>140</v>
      </c>
      <c r="I177" s="32" t="s">
        <v>356</v>
      </c>
      <c r="J177" s="32">
        <v>11</v>
      </c>
      <c r="K177" s="32" t="s">
        <v>315</v>
      </c>
      <c r="L177" s="32">
        <v>5</v>
      </c>
      <c r="M177" s="32">
        <v>0.74741000000000002</v>
      </c>
      <c r="O177" s="32">
        <v>6.2350000000000017E-2</v>
      </c>
      <c r="P177" s="32">
        <v>5</v>
      </c>
      <c r="Q177" s="32">
        <v>1.0408299999999999</v>
      </c>
      <c r="S177" s="32">
        <v>0.22372999999999998</v>
      </c>
      <c r="T177" s="32">
        <v>5</v>
      </c>
      <c r="U177" s="32" t="s">
        <v>477</v>
      </c>
      <c r="V177" s="32">
        <v>5</v>
      </c>
      <c r="W177" s="32">
        <f t="shared" si="29"/>
        <v>5</v>
      </c>
      <c r="X177" s="32" t="str">
        <f t="shared" si="23"/>
        <v>Medium</v>
      </c>
      <c r="Y177" s="32" t="s">
        <v>474</v>
      </c>
      <c r="Z177" s="32">
        <f>LN(M177/Q177)</f>
        <v>-0.33115985408621912</v>
      </c>
      <c r="AA177" s="32">
        <f t="shared" si="20"/>
        <v>1.3918265057125522E-3</v>
      </c>
      <c r="AB177" s="32">
        <f t="shared" si="21"/>
        <v>9.2409971859607944E-3</v>
      </c>
      <c r="AC177" s="32">
        <f t="shared" si="25"/>
        <v>1.0632823691673347E-2</v>
      </c>
      <c r="AD177" s="32" t="s">
        <v>212</v>
      </c>
      <c r="AF177" s="32" t="s">
        <v>482</v>
      </c>
    </row>
    <row r="178" spans="1:32" s="32" customFormat="1" ht="15.75" x14ac:dyDescent="0.2">
      <c r="A178" s="32">
        <v>177</v>
      </c>
      <c r="B178" s="32">
        <v>11</v>
      </c>
      <c r="C178" s="32" t="s">
        <v>25</v>
      </c>
      <c r="D178" s="32" t="s">
        <v>473</v>
      </c>
      <c r="E178" s="32" t="s">
        <v>426</v>
      </c>
      <c r="F178" s="32" t="s">
        <v>133</v>
      </c>
      <c r="G178" s="32" t="s">
        <v>168</v>
      </c>
      <c r="H178" s="32" t="s">
        <v>140</v>
      </c>
      <c r="I178" s="32" t="s">
        <v>356</v>
      </c>
      <c r="J178" s="32">
        <v>11</v>
      </c>
      <c r="K178" s="32" t="s">
        <v>315</v>
      </c>
      <c r="L178" s="32">
        <v>5</v>
      </c>
      <c r="M178" s="32">
        <v>0.64105000000000001</v>
      </c>
      <c r="O178" s="32">
        <v>0.15954000000000002</v>
      </c>
      <c r="P178" s="32">
        <v>5</v>
      </c>
      <c r="Q178" s="32">
        <v>1.0408299999999999</v>
      </c>
      <c r="S178" s="32">
        <v>0.22372999999999998</v>
      </c>
      <c r="T178" s="32">
        <v>5</v>
      </c>
      <c r="U178" s="32" t="s">
        <v>476</v>
      </c>
      <c r="V178" s="32">
        <v>50</v>
      </c>
      <c r="W178" s="32">
        <f t="shared" si="29"/>
        <v>50</v>
      </c>
      <c r="X178" s="32" t="str">
        <f t="shared" si="23"/>
        <v>High</v>
      </c>
      <c r="Y178" s="32" t="s">
        <v>474</v>
      </c>
      <c r="Z178" s="32">
        <f>LN(M178/Q178)</f>
        <v>-0.48466629376573545</v>
      </c>
      <c r="AA178" s="32">
        <f t="shared" si="20"/>
        <v>1.2387548334390968E-2</v>
      </c>
      <c r="AB178" s="32">
        <f t="shared" si="21"/>
        <v>9.2409971859607944E-3</v>
      </c>
      <c r="AC178" s="32">
        <f t="shared" si="25"/>
        <v>2.1628545520351761E-2</v>
      </c>
      <c r="AD178" s="32" t="s">
        <v>212</v>
      </c>
      <c r="AF178" s="32" t="s">
        <v>482</v>
      </c>
    </row>
    <row r="179" spans="1:32" s="32" customFormat="1" ht="15.75" x14ac:dyDescent="0.2">
      <c r="A179" s="32">
        <v>178</v>
      </c>
      <c r="B179" s="32">
        <v>11</v>
      </c>
      <c r="C179" s="32" t="s">
        <v>25</v>
      </c>
      <c r="D179" s="32" t="s">
        <v>473</v>
      </c>
      <c r="E179" s="32" t="s">
        <v>426</v>
      </c>
      <c r="F179" s="32" t="s">
        <v>133</v>
      </c>
      <c r="G179" s="32" t="s">
        <v>168</v>
      </c>
      <c r="H179" s="32" t="s">
        <v>140</v>
      </c>
      <c r="I179" s="32" t="s">
        <v>356</v>
      </c>
      <c r="J179" s="32">
        <v>11</v>
      </c>
      <c r="K179" s="32" t="s">
        <v>315</v>
      </c>
      <c r="L179" s="32">
        <v>5</v>
      </c>
      <c r="M179" s="32">
        <v>1.28207</v>
      </c>
      <c r="O179" s="32">
        <v>0.24753999999999987</v>
      </c>
      <c r="P179" s="32">
        <v>5</v>
      </c>
      <c r="Q179" s="32">
        <v>1.0345299999999999</v>
      </c>
      <c r="S179" s="32">
        <v>0.25968000000000013</v>
      </c>
      <c r="T179" s="32">
        <v>5</v>
      </c>
      <c r="U179" s="32" t="s">
        <v>475</v>
      </c>
      <c r="V179" s="32">
        <v>0.5</v>
      </c>
      <c r="W179" s="32">
        <f t="shared" si="29"/>
        <v>0.5</v>
      </c>
      <c r="X179" s="32" t="str">
        <f t="shared" si="23"/>
        <v>Low</v>
      </c>
      <c r="Y179" s="32" t="s">
        <v>474</v>
      </c>
      <c r="Z179" s="32">
        <f>(LN(M179/Q179))*-1</f>
        <v>-0.21452874189226329</v>
      </c>
      <c r="AA179" s="32">
        <f t="shared" si="20"/>
        <v>7.4558522462131139E-3</v>
      </c>
      <c r="AB179" s="32">
        <f t="shared" si="21"/>
        <v>1.2601458755687354E-2</v>
      </c>
      <c r="AC179" s="32">
        <f t="shared" si="25"/>
        <v>2.0057311001900467E-2</v>
      </c>
      <c r="AD179" s="32" t="s">
        <v>212</v>
      </c>
      <c r="AF179" s="32" t="s">
        <v>483</v>
      </c>
    </row>
    <row r="180" spans="1:32" s="32" customFormat="1" ht="15.75" x14ac:dyDescent="0.2">
      <c r="A180" s="32">
        <v>179</v>
      </c>
      <c r="B180" s="32">
        <v>11</v>
      </c>
      <c r="C180" s="32" t="s">
        <v>25</v>
      </c>
      <c r="D180" s="32" t="s">
        <v>473</v>
      </c>
      <c r="E180" s="32" t="s">
        <v>426</v>
      </c>
      <c r="F180" s="32" t="s">
        <v>133</v>
      </c>
      <c r="G180" s="32" t="s">
        <v>168</v>
      </c>
      <c r="H180" s="32" t="s">
        <v>140</v>
      </c>
      <c r="I180" s="32" t="s">
        <v>356</v>
      </c>
      <c r="J180" s="32">
        <v>11</v>
      </c>
      <c r="K180" s="32" t="s">
        <v>315</v>
      </c>
      <c r="L180" s="32">
        <v>5</v>
      </c>
      <c r="M180" s="32">
        <v>0.87194000000000005</v>
      </c>
      <c r="O180" s="32">
        <v>0.18685999999999992</v>
      </c>
      <c r="P180" s="32">
        <v>5</v>
      </c>
      <c r="Q180" s="32">
        <v>1.0345299999999999</v>
      </c>
      <c r="S180" s="32">
        <v>0.25968000000000013</v>
      </c>
      <c r="T180" s="32">
        <v>5</v>
      </c>
      <c r="U180" s="32" t="s">
        <v>477</v>
      </c>
      <c r="V180" s="32">
        <v>5</v>
      </c>
      <c r="W180" s="32">
        <f t="shared" si="29"/>
        <v>5</v>
      </c>
      <c r="X180" s="32" t="str">
        <f t="shared" si="23"/>
        <v>Medium</v>
      </c>
      <c r="Y180" s="32" t="s">
        <v>474</v>
      </c>
      <c r="Z180" s="32">
        <f>(LN(M180/Q180))*-1</f>
        <v>0.170981882079598</v>
      </c>
      <c r="AA180" s="32">
        <f t="shared" si="20"/>
        <v>9.185218295197712E-3</v>
      </c>
      <c r="AB180" s="32">
        <f t="shared" si="21"/>
        <v>1.2601458755687354E-2</v>
      </c>
      <c r="AC180" s="32">
        <f t="shared" si="25"/>
        <v>2.1786677050885064E-2</v>
      </c>
      <c r="AD180" s="32" t="s">
        <v>212</v>
      </c>
      <c r="AF180" s="32" t="s">
        <v>483</v>
      </c>
    </row>
    <row r="181" spans="1:32" s="32" customFormat="1" ht="15.75" x14ac:dyDescent="0.2">
      <c r="A181" s="32">
        <v>180</v>
      </c>
      <c r="B181" s="32">
        <v>11</v>
      </c>
      <c r="C181" s="32" t="s">
        <v>25</v>
      </c>
      <c r="D181" s="32" t="s">
        <v>473</v>
      </c>
      <c r="E181" s="32" t="s">
        <v>426</v>
      </c>
      <c r="F181" s="32" t="s">
        <v>133</v>
      </c>
      <c r="G181" s="32" t="s">
        <v>168</v>
      </c>
      <c r="H181" s="32" t="s">
        <v>140</v>
      </c>
      <c r="I181" s="32" t="s">
        <v>356</v>
      </c>
      <c r="J181" s="32">
        <v>11</v>
      </c>
      <c r="K181" s="32" t="s">
        <v>315</v>
      </c>
      <c r="L181" s="32">
        <v>5</v>
      </c>
      <c r="M181" s="32">
        <v>0.84767000000000003</v>
      </c>
      <c r="O181" s="32">
        <v>0.30578000000000005</v>
      </c>
      <c r="P181" s="32">
        <v>5</v>
      </c>
      <c r="Q181" s="32">
        <v>1.0345299999999999</v>
      </c>
      <c r="S181" s="32">
        <v>0.25968000000000013</v>
      </c>
      <c r="T181" s="32">
        <v>5</v>
      </c>
      <c r="U181" s="32" t="s">
        <v>476</v>
      </c>
      <c r="V181" s="32">
        <v>50</v>
      </c>
      <c r="W181" s="32">
        <f t="shared" si="29"/>
        <v>50</v>
      </c>
      <c r="X181" s="32" t="str">
        <f t="shared" si="23"/>
        <v>High</v>
      </c>
      <c r="Y181" s="32" t="s">
        <v>474</v>
      </c>
      <c r="Z181" s="32">
        <f>(LN(M181/Q181))*-1</f>
        <v>0.19921108717216596</v>
      </c>
      <c r="AA181" s="32">
        <f t="shared" si="20"/>
        <v>2.6025226733199718E-2</v>
      </c>
      <c r="AB181" s="32">
        <f t="shared" si="21"/>
        <v>1.2601458755687354E-2</v>
      </c>
      <c r="AC181" s="32">
        <f t="shared" si="25"/>
        <v>3.8626685488887071E-2</v>
      </c>
      <c r="AD181" s="32" t="s">
        <v>212</v>
      </c>
      <c r="AF181" s="32" t="s">
        <v>483</v>
      </c>
    </row>
    <row r="182" spans="1:32" s="32" customFormat="1" ht="15.75" x14ac:dyDescent="0.2">
      <c r="A182" s="32">
        <v>181</v>
      </c>
      <c r="B182" s="32">
        <v>11</v>
      </c>
      <c r="C182" s="32" t="s">
        <v>25</v>
      </c>
      <c r="D182" s="32" t="s">
        <v>473</v>
      </c>
      <c r="E182" s="32" t="s">
        <v>426</v>
      </c>
      <c r="F182" s="32" t="s">
        <v>133</v>
      </c>
      <c r="G182" s="32" t="s">
        <v>168</v>
      </c>
      <c r="H182" s="32" t="s">
        <v>140</v>
      </c>
      <c r="I182" s="32" t="s">
        <v>356</v>
      </c>
      <c r="J182" s="32">
        <v>11</v>
      </c>
      <c r="K182" s="32" t="s">
        <v>315</v>
      </c>
      <c r="L182" s="32">
        <v>5</v>
      </c>
      <c r="M182" s="32">
        <v>5.14886</v>
      </c>
      <c r="O182" s="32">
        <v>2.8902100000000006</v>
      </c>
      <c r="P182" s="32">
        <v>5</v>
      </c>
      <c r="Q182" s="32">
        <v>1.0635300000000001</v>
      </c>
      <c r="S182" s="32">
        <v>0.23170999999999986</v>
      </c>
      <c r="T182" s="32">
        <v>5</v>
      </c>
      <c r="U182" s="32" t="s">
        <v>475</v>
      </c>
      <c r="V182" s="32">
        <v>0.5</v>
      </c>
      <c r="W182" s="32">
        <f t="shared" si="29"/>
        <v>0.5</v>
      </c>
      <c r="X182" s="32" t="str">
        <f t="shared" si="23"/>
        <v>Low</v>
      </c>
      <c r="Y182" s="32" t="s">
        <v>474</v>
      </c>
      <c r="Z182" s="32">
        <f t="shared" ref="Z182:Z193" si="31">LN(M182/Q182)</f>
        <v>1.5771817669437682</v>
      </c>
      <c r="AA182" s="32">
        <f t="shared" si="20"/>
        <v>6.301829192969241E-2</v>
      </c>
      <c r="AB182" s="32">
        <f t="shared" si="21"/>
        <v>9.4933624041232696E-3</v>
      </c>
      <c r="AC182" s="32">
        <f t="shared" si="25"/>
        <v>7.2511654333815678E-2</v>
      </c>
      <c r="AD182" s="32" t="s">
        <v>212</v>
      </c>
      <c r="AF182" s="32" t="s">
        <v>484</v>
      </c>
    </row>
    <row r="183" spans="1:32" s="32" customFormat="1" ht="15.75" x14ac:dyDescent="0.2">
      <c r="A183" s="32">
        <v>182</v>
      </c>
      <c r="B183" s="32">
        <v>11</v>
      </c>
      <c r="C183" s="32" t="s">
        <v>25</v>
      </c>
      <c r="D183" s="32" t="s">
        <v>473</v>
      </c>
      <c r="E183" s="32" t="s">
        <v>426</v>
      </c>
      <c r="F183" s="32" t="s">
        <v>133</v>
      </c>
      <c r="G183" s="32" t="s">
        <v>168</v>
      </c>
      <c r="H183" s="32" t="s">
        <v>140</v>
      </c>
      <c r="I183" s="32" t="s">
        <v>356</v>
      </c>
      <c r="J183" s="32">
        <v>11</v>
      </c>
      <c r="K183" s="32" t="s">
        <v>315</v>
      </c>
      <c r="L183" s="32">
        <v>5</v>
      </c>
      <c r="M183" s="32">
        <v>3.9659399999999998</v>
      </c>
      <c r="O183" s="32">
        <v>1.1829200000000002</v>
      </c>
      <c r="P183" s="32">
        <v>5</v>
      </c>
      <c r="Q183" s="32">
        <v>1.0635300000000001</v>
      </c>
      <c r="S183" s="32">
        <v>0.23170999999999986</v>
      </c>
      <c r="T183" s="32">
        <v>5</v>
      </c>
      <c r="U183" s="32" t="s">
        <v>477</v>
      </c>
      <c r="V183" s="32">
        <v>5</v>
      </c>
      <c r="W183" s="32">
        <f t="shared" si="29"/>
        <v>5</v>
      </c>
      <c r="X183" s="32" t="str">
        <f t="shared" si="23"/>
        <v>Medium</v>
      </c>
      <c r="Y183" s="32" t="s">
        <v>474</v>
      </c>
      <c r="Z183" s="32">
        <f t="shared" si="31"/>
        <v>1.3161493373851183</v>
      </c>
      <c r="AA183" s="32">
        <f t="shared" si="20"/>
        <v>1.7792970789189413E-2</v>
      </c>
      <c r="AB183" s="32">
        <f t="shared" si="21"/>
        <v>9.4933624041232696E-3</v>
      </c>
      <c r="AC183" s="32">
        <f t="shared" si="25"/>
        <v>2.7286333193312681E-2</v>
      </c>
      <c r="AD183" s="32" t="s">
        <v>212</v>
      </c>
      <c r="AF183" s="32" t="s">
        <v>484</v>
      </c>
    </row>
    <row r="184" spans="1:32" s="32" customFormat="1" ht="15.75" x14ac:dyDescent="0.2">
      <c r="A184" s="32">
        <v>183</v>
      </c>
      <c r="B184" s="32">
        <v>11</v>
      </c>
      <c r="C184" s="32" t="s">
        <v>25</v>
      </c>
      <c r="D184" s="32" t="s">
        <v>473</v>
      </c>
      <c r="E184" s="32" t="s">
        <v>426</v>
      </c>
      <c r="F184" s="32" t="s">
        <v>133</v>
      </c>
      <c r="G184" s="32" t="s">
        <v>168</v>
      </c>
      <c r="H184" s="32" t="s">
        <v>140</v>
      </c>
      <c r="I184" s="32" t="s">
        <v>356</v>
      </c>
      <c r="J184" s="32">
        <v>11</v>
      </c>
      <c r="K184" s="32" t="s">
        <v>315</v>
      </c>
      <c r="L184" s="32">
        <v>5</v>
      </c>
      <c r="M184" s="32">
        <v>2.2464499999999998</v>
      </c>
      <c r="O184" s="32">
        <v>0.47560000000000002</v>
      </c>
      <c r="P184" s="32">
        <v>5</v>
      </c>
      <c r="Q184" s="32">
        <v>1.0635300000000001</v>
      </c>
      <c r="S184" s="32">
        <v>0.23170999999999986</v>
      </c>
      <c r="T184" s="32">
        <v>5</v>
      </c>
      <c r="U184" s="32" t="s">
        <v>476</v>
      </c>
      <c r="V184" s="32">
        <v>50</v>
      </c>
      <c r="W184" s="32">
        <f t="shared" si="29"/>
        <v>50</v>
      </c>
      <c r="X184" s="32" t="str">
        <f t="shared" si="23"/>
        <v>High</v>
      </c>
      <c r="Y184" s="32" t="s">
        <v>474</v>
      </c>
      <c r="Z184" s="32">
        <f t="shared" si="31"/>
        <v>0.74775762843140425</v>
      </c>
      <c r="AA184" s="32">
        <f t="shared" si="20"/>
        <v>8.9643782655238844E-3</v>
      </c>
      <c r="AB184" s="32">
        <f t="shared" si="21"/>
        <v>9.4933624041232696E-3</v>
      </c>
      <c r="AC184" s="32">
        <f t="shared" si="25"/>
        <v>1.8457740669647154E-2</v>
      </c>
      <c r="AD184" s="32" t="s">
        <v>212</v>
      </c>
      <c r="AF184" s="32" t="s">
        <v>484</v>
      </c>
    </row>
    <row r="185" spans="1:32" s="32" customFormat="1" ht="15.75" x14ac:dyDescent="0.2">
      <c r="A185" s="32">
        <v>184</v>
      </c>
      <c r="B185" s="32">
        <v>11</v>
      </c>
      <c r="C185" s="32" t="s">
        <v>25</v>
      </c>
      <c r="D185" s="32" t="s">
        <v>473</v>
      </c>
      <c r="E185" s="32" t="s">
        <v>426</v>
      </c>
      <c r="F185" s="32" t="s">
        <v>133</v>
      </c>
      <c r="G185" s="32" t="s">
        <v>168</v>
      </c>
      <c r="H185" s="32" t="s">
        <v>140</v>
      </c>
      <c r="I185" s="32" t="s">
        <v>356</v>
      </c>
      <c r="J185" s="32">
        <v>11</v>
      </c>
      <c r="K185" s="32" t="s">
        <v>315</v>
      </c>
      <c r="L185" s="32">
        <v>5</v>
      </c>
      <c r="M185" s="32">
        <v>1.0467200000000001</v>
      </c>
      <c r="O185" s="32">
        <v>0.22133999999999987</v>
      </c>
      <c r="P185" s="32">
        <v>5</v>
      </c>
      <c r="Q185" s="32">
        <v>1.0375700000000001</v>
      </c>
      <c r="S185" s="32">
        <v>0.29267999999999983</v>
      </c>
      <c r="T185" s="32">
        <v>5</v>
      </c>
      <c r="U185" s="32" t="s">
        <v>475</v>
      </c>
      <c r="V185" s="32">
        <v>0.5</v>
      </c>
      <c r="W185" s="32">
        <f t="shared" si="29"/>
        <v>0.5</v>
      </c>
      <c r="X185" s="32" t="str">
        <f t="shared" si="23"/>
        <v>Low</v>
      </c>
      <c r="Y185" s="32" t="s">
        <v>474</v>
      </c>
      <c r="Z185" s="32">
        <f t="shared" si="31"/>
        <v>8.780024641637605E-3</v>
      </c>
      <c r="AA185" s="32">
        <f t="shared" si="20"/>
        <v>8.9431139001794457E-3</v>
      </c>
      <c r="AB185" s="32">
        <f t="shared" si="21"/>
        <v>1.5914070438823438E-2</v>
      </c>
      <c r="AC185" s="32">
        <f t="shared" si="25"/>
        <v>2.4857184339002886E-2</v>
      </c>
      <c r="AD185" s="32" t="s">
        <v>212</v>
      </c>
      <c r="AF185" s="32" t="s">
        <v>485</v>
      </c>
    </row>
    <row r="186" spans="1:32" s="32" customFormat="1" ht="15.75" x14ac:dyDescent="0.2">
      <c r="A186" s="32">
        <v>185</v>
      </c>
      <c r="B186" s="32">
        <v>11</v>
      </c>
      <c r="C186" s="32" t="s">
        <v>25</v>
      </c>
      <c r="D186" s="32" t="s">
        <v>473</v>
      </c>
      <c r="E186" s="32" t="s">
        <v>426</v>
      </c>
      <c r="F186" s="32" t="s">
        <v>133</v>
      </c>
      <c r="G186" s="32" t="s">
        <v>168</v>
      </c>
      <c r="H186" s="32" t="s">
        <v>140</v>
      </c>
      <c r="I186" s="32" t="s">
        <v>356</v>
      </c>
      <c r="J186" s="32">
        <v>11</v>
      </c>
      <c r="K186" s="32" t="s">
        <v>315</v>
      </c>
      <c r="L186" s="32">
        <v>5</v>
      </c>
      <c r="M186" s="32">
        <v>1.0467200000000001</v>
      </c>
      <c r="O186" s="32">
        <v>0.18657999999999997</v>
      </c>
      <c r="P186" s="32">
        <v>5</v>
      </c>
      <c r="Q186" s="32">
        <v>1.0375700000000001</v>
      </c>
      <c r="S186" s="32">
        <v>0.29267999999999983</v>
      </c>
      <c r="T186" s="32">
        <v>5</v>
      </c>
      <c r="U186" s="32" t="s">
        <v>477</v>
      </c>
      <c r="V186" s="32">
        <v>5</v>
      </c>
      <c r="W186" s="32">
        <f t="shared" si="29"/>
        <v>5</v>
      </c>
      <c r="X186" s="32" t="str">
        <f t="shared" si="23"/>
        <v>Medium</v>
      </c>
      <c r="Y186" s="32" t="s">
        <v>474</v>
      </c>
      <c r="Z186" s="32">
        <f t="shared" si="31"/>
        <v>8.780024641637605E-3</v>
      </c>
      <c r="AA186" s="32">
        <f t="shared" si="20"/>
        <v>6.3547596347556809E-3</v>
      </c>
      <c r="AB186" s="32">
        <f t="shared" si="21"/>
        <v>1.5914070438823438E-2</v>
      </c>
      <c r="AC186" s="32">
        <f t="shared" si="25"/>
        <v>2.2268830073579118E-2</v>
      </c>
      <c r="AD186" s="32" t="s">
        <v>212</v>
      </c>
      <c r="AF186" s="32" t="s">
        <v>485</v>
      </c>
    </row>
    <row r="187" spans="1:32" s="32" customFormat="1" ht="15.75" x14ac:dyDescent="0.2">
      <c r="A187" s="32">
        <v>186</v>
      </c>
      <c r="B187" s="32">
        <v>11</v>
      </c>
      <c r="C187" s="32" t="s">
        <v>25</v>
      </c>
      <c r="D187" s="32" t="s">
        <v>473</v>
      </c>
      <c r="E187" s="32" t="s">
        <v>426</v>
      </c>
      <c r="F187" s="32" t="s">
        <v>133</v>
      </c>
      <c r="G187" s="32" t="s">
        <v>168</v>
      </c>
      <c r="H187" s="32" t="s">
        <v>140</v>
      </c>
      <c r="I187" s="32" t="s">
        <v>356</v>
      </c>
      <c r="J187" s="32">
        <v>11</v>
      </c>
      <c r="K187" s="32" t="s">
        <v>315</v>
      </c>
      <c r="L187" s="32">
        <v>5</v>
      </c>
      <c r="M187" s="32">
        <v>0.24732999999999999</v>
      </c>
      <c r="O187" s="32">
        <v>3.6590000000000011E-2</v>
      </c>
      <c r="P187" s="32">
        <v>5</v>
      </c>
      <c r="Q187" s="32">
        <v>1.0375700000000001</v>
      </c>
      <c r="S187" s="32">
        <v>0.29267999999999983</v>
      </c>
      <c r="T187" s="32">
        <v>5</v>
      </c>
      <c r="U187" s="32" t="s">
        <v>476</v>
      </c>
      <c r="V187" s="32">
        <v>50</v>
      </c>
      <c r="W187" s="32">
        <f t="shared" si="29"/>
        <v>50</v>
      </c>
      <c r="X187" s="32" t="str">
        <f t="shared" si="23"/>
        <v>High</v>
      </c>
      <c r="Y187" s="32" t="s">
        <v>474</v>
      </c>
      <c r="Z187" s="32">
        <f t="shared" si="31"/>
        <v>-1.4339132423888765</v>
      </c>
      <c r="AA187" s="32">
        <f t="shared" si="20"/>
        <v>4.3772486721481456E-3</v>
      </c>
      <c r="AB187" s="32">
        <f t="shared" si="21"/>
        <v>1.5914070438823438E-2</v>
      </c>
      <c r="AC187" s="32">
        <f t="shared" si="25"/>
        <v>2.0291319110971585E-2</v>
      </c>
      <c r="AD187" s="32" t="s">
        <v>212</v>
      </c>
      <c r="AF187" s="32" t="s">
        <v>684</v>
      </c>
    </row>
    <row r="188" spans="1:32" s="32" customFormat="1" ht="15.75" x14ac:dyDescent="0.2">
      <c r="A188" s="32">
        <v>187</v>
      </c>
      <c r="B188" s="32">
        <v>11</v>
      </c>
      <c r="C188" s="32" t="s">
        <v>25</v>
      </c>
      <c r="D188" s="32" t="s">
        <v>473</v>
      </c>
      <c r="E188" s="32" t="s">
        <v>426</v>
      </c>
      <c r="F188" s="32" t="s">
        <v>133</v>
      </c>
      <c r="G188" s="32" t="s">
        <v>168</v>
      </c>
      <c r="H188" s="32" t="s">
        <v>140</v>
      </c>
      <c r="I188" s="32" t="s">
        <v>356</v>
      </c>
      <c r="J188" s="32">
        <v>11</v>
      </c>
      <c r="K188" s="32" t="s">
        <v>315</v>
      </c>
      <c r="L188" s="32">
        <v>5</v>
      </c>
      <c r="M188" s="32">
        <v>1.0321</v>
      </c>
      <c r="O188" s="32">
        <v>7.3170000000000179E-2</v>
      </c>
      <c r="P188" s="32">
        <v>5</v>
      </c>
      <c r="Q188" s="32">
        <v>1.0400400000000001</v>
      </c>
      <c r="S188" s="32">
        <v>0.25852999999999993</v>
      </c>
      <c r="T188" s="32">
        <v>5</v>
      </c>
      <c r="U188" s="32" t="s">
        <v>475</v>
      </c>
      <c r="V188" s="32">
        <v>0.5</v>
      </c>
      <c r="W188" s="32">
        <f t="shared" si="29"/>
        <v>0.5</v>
      </c>
      <c r="X188" s="32" t="str">
        <f t="shared" si="23"/>
        <v>Low</v>
      </c>
      <c r="Y188" s="32" t="s">
        <v>474</v>
      </c>
      <c r="Z188" s="32">
        <f t="shared" si="31"/>
        <v>-7.6636123623662821E-3</v>
      </c>
      <c r="AA188" s="32">
        <f t="shared" si="20"/>
        <v>1.0052001613435025E-3</v>
      </c>
      <c r="AB188" s="32">
        <f t="shared" si="21"/>
        <v>1.2358102779286046E-2</v>
      </c>
      <c r="AC188" s="32">
        <f t="shared" si="25"/>
        <v>1.3363302940629549E-2</v>
      </c>
      <c r="AD188" s="32" t="s">
        <v>212</v>
      </c>
      <c r="AF188" s="32" t="s">
        <v>486</v>
      </c>
    </row>
    <row r="189" spans="1:32" s="32" customFormat="1" ht="15.75" x14ac:dyDescent="0.2">
      <c r="A189" s="32">
        <v>188</v>
      </c>
      <c r="B189" s="32">
        <v>11</v>
      </c>
      <c r="C189" s="32" t="s">
        <v>25</v>
      </c>
      <c r="D189" s="32" t="s">
        <v>473</v>
      </c>
      <c r="E189" s="32" t="s">
        <v>426</v>
      </c>
      <c r="F189" s="32" t="s">
        <v>133</v>
      </c>
      <c r="G189" s="32" t="s">
        <v>168</v>
      </c>
      <c r="H189" s="32" t="s">
        <v>140</v>
      </c>
      <c r="I189" s="32" t="s">
        <v>356</v>
      </c>
      <c r="J189" s="32">
        <v>11</v>
      </c>
      <c r="K189" s="32" t="s">
        <v>315</v>
      </c>
      <c r="L189" s="32">
        <v>5</v>
      </c>
      <c r="M189" s="32">
        <v>1.0241</v>
      </c>
      <c r="O189" s="32">
        <v>1.03901</v>
      </c>
      <c r="P189" s="32">
        <v>5</v>
      </c>
      <c r="Q189" s="32">
        <v>1.0400400000000001</v>
      </c>
      <c r="S189" s="32">
        <v>0.25852999999999993</v>
      </c>
      <c r="T189" s="32">
        <v>5</v>
      </c>
      <c r="U189" s="32" t="s">
        <v>477</v>
      </c>
      <c r="V189" s="32">
        <v>5</v>
      </c>
      <c r="W189" s="32">
        <f t="shared" si="29"/>
        <v>5</v>
      </c>
      <c r="X189" s="32" t="str">
        <f t="shared" si="23"/>
        <v>Medium</v>
      </c>
      <c r="Y189" s="32" t="s">
        <v>474</v>
      </c>
      <c r="Z189" s="32">
        <f t="shared" si="31"/>
        <v>-1.5444995852861958E-2</v>
      </c>
      <c r="AA189" s="32">
        <f t="shared" si="20"/>
        <v>0.20586604365882705</v>
      </c>
      <c r="AB189" s="32">
        <f t="shared" si="21"/>
        <v>1.2358102779286046E-2</v>
      </c>
      <c r="AC189" s="32">
        <f t="shared" si="25"/>
        <v>0.21822414643811308</v>
      </c>
      <c r="AD189" s="32" t="s">
        <v>212</v>
      </c>
      <c r="AF189" s="32" t="s">
        <v>486</v>
      </c>
    </row>
    <row r="190" spans="1:32" s="32" customFormat="1" ht="15.75" x14ac:dyDescent="0.2">
      <c r="A190" s="32">
        <v>189</v>
      </c>
      <c r="B190" s="32">
        <v>11</v>
      </c>
      <c r="C190" s="32" t="s">
        <v>25</v>
      </c>
      <c r="D190" s="32" t="s">
        <v>473</v>
      </c>
      <c r="E190" s="32" t="s">
        <v>426</v>
      </c>
      <c r="F190" s="32" t="s">
        <v>133</v>
      </c>
      <c r="G190" s="32" t="s">
        <v>168</v>
      </c>
      <c r="H190" s="32" t="s">
        <v>140</v>
      </c>
      <c r="I190" s="32" t="s">
        <v>356</v>
      </c>
      <c r="J190" s="32">
        <v>11</v>
      </c>
      <c r="K190" s="32" t="s">
        <v>315</v>
      </c>
      <c r="L190" s="32">
        <v>5</v>
      </c>
      <c r="M190" s="32">
        <v>2.9327000000000001</v>
      </c>
      <c r="O190" s="32">
        <v>0.5902400000000001</v>
      </c>
      <c r="P190" s="32">
        <v>5</v>
      </c>
      <c r="Q190" s="32">
        <v>1.0400400000000001</v>
      </c>
      <c r="S190" s="32">
        <v>0.25852999999999993</v>
      </c>
      <c r="T190" s="32">
        <v>5</v>
      </c>
      <c r="U190" s="32" t="s">
        <v>476</v>
      </c>
      <c r="V190" s="32">
        <v>50</v>
      </c>
      <c r="W190" s="32">
        <f t="shared" si="29"/>
        <v>50</v>
      </c>
      <c r="X190" s="32" t="str">
        <f t="shared" si="23"/>
        <v>High</v>
      </c>
      <c r="Y190" s="32" t="s">
        <v>474</v>
      </c>
      <c r="Z190" s="32">
        <f t="shared" si="31"/>
        <v>1.0366643264613018</v>
      </c>
      <c r="AA190" s="32">
        <f t="shared" si="20"/>
        <v>8.1012492279012322E-3</v>
      </c>
      <c r="AB190" s="32">
        <f t="shared" si="21"/>
        <v>1.2358102779286046E-2</v>
      </c>
      <c r="AC190" s="32">
        <f t="shared" si="25"/>
        <v>2.0459352007187279E-2</v>
      </c>
      <c r="AD190" s="32" t="s">
        <v>212</v>
      </c>
      <c r="AF190" s="32" t="s">
        <v>486</v>
      </c>
    </row>
    <row r="191" spans="1:32" s="32" customFormat="1" ht="15.75" x14ac:dyDescent="0.2">
      <c r="A191" s="32">
        <v>190</v>
      </c>
      <c r="B191" s="32">
        <v>11</v>
      </c>
      <c r="C191" s="32" t="s">
        <v>25</v>
      </c>
      <c r="D191" s="32" t="s">
        <v>473</v>
      </c>
      <c r="E191" s="32" t="s">
        <v>426</v>
      </c>
      <c r="F191" s="32" t="s">
        <v>133</v>
      </c>
      <c r="G191" s="32" t="s">
        <v>168</v>
      </c>
      <c r="H191" s="32" t="s">
        <v>140</v>
      </c>
      <c r="I191" s="32" t="s">
        <v>356</v>
      </c>
      <c r="J191" s="32">
        <v>11</v>
      </c>
      <c r="K191" s="32" t="s">
        <v>315</v>
      </c>
      <c r="L191" s="32">
        <v>5</v>
      </c>
      <c r="M191" s="32">
        <v>2.53904</v>
      </c>
      <c r="O191" s="32">
        <v>1.4524699999999999</v>
      </c>
      <c r="P191" s="32">
        <v>5</v>
      </c>
      <c r="Q191" s="32">
        <v>1.0284599999999999</v>
      </c>
      <c r="S191" s="32">
        <v>0.1452500000000001</v>
      </c>
      <c r="T191" s="32">
        <v>5</v>
      </c>
      <c r="U191" s="32" t="s">
        <v>475</v>
      </c>
      <c r="V191" s="32">
        <v>0.5</v>
      </c>
      <c r="W191" s="32">
        <f t="shared" si="29"/>
        <v>0.5</v>
      </c>
      <c r="X191" s="32" t="str">
        <f t="shared" si="23"/>
        <v>Low</v>
      </c>
      <c r="Y191" s="32" t="s">
        <v>474</v>
      </c>
      <c r="Z191" s="32">
        <f t="shared" si="31"/>
        <v>0.90372351906751169</v>
      </c>
      <c r="AA191" s="32">
        <f t="shared" si="20"/>
        <v>6.5449337092973195E-2</v>
      </c>
      <c r="AB191" s="32">
        <f t="shared" si="21"/>
        <v>3.9892152187171754E-3</v>
      </c>
      <c r="AC191" s="32">
        <f t="shared" si="25"/>
        <v>6.9438552311690369E-2</v>
      </c>
      <c r="AD191" s="32" t="s">
        <v>212</v>
      </c>
      <c r="AF191" s="32" t="s">
        <v>487</v>
      </c>
    </row>
    <row r="192" spans="1:32" s="32" customFormat="1" ht="15.75" x14ac:dyDescent="0.2">
      <c r="A192" s="32">
        <v>191</v>
      </c>
      <c r="B192" s="32">
        <v>11</v>
      </c>
      <c r="C192" s="32" t="s">
        <v>25</v>
      </c>
      <c r="D192" s="32" t="s">
        <v>473</v>
      </c>
      <c r="E192" s="32" t="s">
        <v>426</v>
      </c>
      <c r="F192" s="32" t="s">
        <v>133</v>
      </c>
      <c r="G192" s="32" t="s">
        <v>168</v>
      </c>
      <c r="H192" s="32" t="s">
        <v>140</v>
      </c>
      <c r="I192" s="32" t="s">
        <v>356</v>
      </c>
      <c r="J192" s="32">
        <v>11</v>
      </c>
      <c r="K192" s="32" t="s">
        <v>315</v>
      </c>
      <c r="L192" s="32">
        <v>5</v>
      </c>
      <c r="M192" s="32">
        <v>4.8823699999999999</v>
      </c>
      <c r="O192" s="32">
        <v>2.0237800000000004</v>
      </c>
      <c r="P192" s="32">
        <v>5</v>
      </c>
      <c r="Q192" s="32">
        <v>1.0284599999999999</v>
      </c>
      <c r="S192" s="32">
        <v>0.1452500000000001</v>
      </c>
      <c r="T192" s="32">
        <v>5</v>
      </c>
      <c r="U192" s="32" t="s">
        <v>477</v>
      </c>
      <c r="V192" s="32">
        <v>5</v>
      </c>
      <c r="W192" s="32">
        <f t="shared" si="29"/>
        <v>5</v>
      </c>
      <c r="X192" s="32" t="str">
        <f t="shared" si="23"/>
        <v>Medium</v>
      </c>
      <c r="Y192" s="32" t="s">
        <v>474</v>
      </c>
      <c r="Z192" s="32">
        <f t="shared" si="31"/>
        <v>1.557568219945298</v>
      </c>
      <c r="AA192" s="32">
        <f t="shared" si="20"/>
        <v>3.4363328055743589E-2</v>
      </c>
      <c r="AB192" s="32">
        <f t="shared" si="21"/>
        <v>3.9892152187171754E-3</v>
      </c>
      <c r="AC192" s="32">
        <f t="shared" si="25"/>
        <v>3.8352543274460763E-2</v>
      </c>
      <c r="AD192" s="32" t="s">
        <v>212</v>
      </c>
      <c r="AF192" s="32" t="s">
        <v>487</v>
      </c>
    </row>
    <row r="193" spans="1:32" s="32" customFormat="1" ht="15.75" x14ac:dyDescent="0.2">
      <c r="A193" s="32">
        <v>192</v>
      </c>
      <c r="B193" s="32">
        <v>11</v>
      </c>
      <c r="C193" s="32" t="s">
        <v>25</v>
      </c>
      <c r="D193" s="32" t="s">
        <v>473</v>
      </c>
      <c r="E193" s="32" t="s">
        <v>426</v>
      </c>
      <c r="F193" s="32" t="s">
        <v>133</v>
      </c>
      <c r="G193" s="32" t="s">
        <v>168</v>
      </c>
      <c r="H193" s="32" t="s">
        <v>140</v>
      </c>
      <c r="I193" s="32" t="s">
        <v>356</v>
      </c>
      <c r="J193" s="32">
        <v>11</v>
      </c>
      <c r="K193" s="32" t="s">
        <v>315</v>
      </c>
      <c r="L193" s="32">
        <v>5</v>
      </c>
      <c r="M193" s="32">
        <v>3.7107000000000001</v>
      </c>
      <c r="O193" s="32">
        <v>1.0361000000000002</v>
      </c>
      <c r="P193" s="32">
        <v>5</v>
      </c>
      <c r="Q193" s="32">
        <v>1.0284599999999999</v>
      </c>
      <c r="S193" s="32">
        <v>0.1452500000000001</v>
      </c>
      <c r="T193" s="32">
        <v>5</v>
      </c>
      <c r="U193" s="32" t="s">
        <v>476</v>
      </c>
      <c r="V193" s="32">
        <v>50</v>
      </c>
      <c r="W193" s="32">
        <f t="shared" si="29"/>
        <v>50</v>
      </c>
      <c r="X193" s="32" t="str">
        <f t="shared" si="23"/>
        <v>High</v>
      </c>
      <c r="Y193" s="32" t="s">
        <v>474</v>
      </c>
      <c r="Z193" s="32">
        <f t="shared" si="31"/>
        <v>1.2831580003020531</v>
      </c>
      <c r="AA193" s="32">
        <f t="shared" si="20"/>
        <v>1.5592711896453901E-2</v>
      </c>
      <c r="AB193" s="32">
        <f t="shared" si="21"/>
        <v>3.9892152187171754E-3</v>
      </c>
      <c r="AC193" s="32">
        <f t="shared" si="25"/>
        <v>1.9581927115171077E-2</v>
      </c>
      <c r="AD193" s="32" t="s">
        <v>212</v>
      </c>
      <c r="AF193" s="32" t="s">
        <v>487</v>
      </c>
    </row>
    <row r="194" spans="1:32" s="32" customFormat="1" ht="15.75" x14ac:dyDescent="0.2">
      <c r="A194" s="32">
        <v>193</v>
      </c>
      <c r="B194" s="32">
        <v>11</v>
      </c>
      <c r="C194" s="32" t="s">
        <v>25</v>
      </c>
      <c r="D194" s="32" t="s">
        <v>473</v>
      </c>
      <c r="E194" s="32" t="s">
        <v>426</v>
      </c>
      <c r="F194" s="32" t="s">
        <v>133</v>
      </c>
      <c r="G194" s="32" t="s">
        <v>168</v>
      </c>
      <c r="H194" s="32" t="s">
        <v>140</v>
      </c>
      <c r="I194" s="32" t="s">
        <v>356</v>
      </c>
      <c r="J194" s="32">
        <v>11</v>
      </c>
      <c r="K194" s="32" t="s">
        <v>315</v>
      </c>
      <c r="L194" s="32">
        <v>5</v>
      </c>
      <c r="M194" s="32">
        <v>1.2350000000000001</v>
      </c>
      <c r="O194" s="32">
        <v>0.15221000000000007</v>
      </c>
      <c r="P194" s="32">
        <v>5</v>
      </c>
      <c r="Q194" s="32">
        <v>1.0319</v>
      </c>
      <c r="S194" s="32">
        <v>0.27507999999999999</v>
      </c>
      <c r="T194" s="32">
        <v>5</v>
      </c>
      <c r="U194" s="32" t="s">
        <v>475</v>
      </c>
      <c r="V194" s="32">
        <v>0.5</v>
      </c>
      <c r="W194" s="32">
        <f t="shared" si="29"/>
        <v>0.5</v>
      </c>
      <c r="X194" s="32" t="str">
        <f t="shared" si="23"/>
        <v>Low</v>
      </c>
      <c r="Y194" s="32" t="s">
        <v>474</v>
      </c>
      <c r="Z194" s="32">
        <f>(LN(M194/Q194))*-1</f>
        <v>-0.17966920694040889</v>
      </c>
      <c r="AA194" s="32">
        <f t="shared" ref="AA194:AA257" si="32">(O194^2)/(L194*M194^2)</f>
        <v>3.0379628054877173E-3</v>
      </c>
      <c r="AB194" s="32">
        <f t="shared" ref="AB194:AB257" si="33">(S194^2)/(P194*Q194^2)</f>
        <v>1.421257606736988E-2</v>
      </c>
      <c r="AC194" s="32">
        <f t="shared" si="25"/>
        <v>1.7250538872857598E-2</v>
      </c>
      <c r="AD194" s="32" t="s">
        <v>212</v>
      </c>
      <c r="AF194" s="32" t="s">
        <v>488</v>
      </c>
    </row>
    <row r="195" spans="1:32" s="32" customFormat="1" ht="15.75" x14ac:dyDescent="0.2">
      <c r="A195" s="32">
        <v>194</v>
      </c>
      <c r="B195" s="32">
        <v>11</v>
      </c>
      <c r="C195" s="32" t="s">
        <v>25</v>
      </c>
      <c r="D195" s="32" t="s">
        <v>473</v>
      </c>
      <c r="E195" s="32" t="s">
        <v>426</v>
      </c>
      <c r="F195" s="32" t="s">
        <v>133</v>
      </c>
      <c r="G195" s="32" t="s">
        <v>168</v>
      </c>
      <c r="H195" s="32" t="s">
        <v>140</v>
      </c>
      <c r="I195" s="32" t="s">
        <v>356</v>
      </c>
      <c r="J195" s="32">
        <v>11</v>
      </c>
      <c r="K195" s="32" t="s">
        <v>315</v>
      </c>
      <c r="L195" s="32">
        <v>5</v>
      </c>
      <c r="M195" s="32">
        <v>1.052</v>
      </c>
      <c r="O195" s="32">
        <v>0.14304000000000006</v>
      </c>
      <c r="P195" s="32">
        <v>5</v>
      </c>
      <c r="Q195" s="32">
        <v>1.0319</v>
      </c>
      <c r="S195" s="32">
        <v>0.27507999999999999</v>
      </c>
      <c r="T195" s="32">
        <v>5</v>
      </c>
      <c r="U195" s="32" t="s">
        <v>477</v>
      </c>
      <c r="V195" s="32">
        <v>5</v>
      </c>
      <c r="W195" s="32">
        <f t="shared" si="29"/>
        <v>5</v>
      </c>
      <c r="X195" s="32" t="str">
        <f t="shared" ref="X195:X258" si="34">IF(W195&lt;=1, "Low", IF(W195&lt;10, "Medium", "High"))</f>
        <v>Medium</v>
      </c>
      <c r="Y195" s="32" t="s">
        <v>474</v>
      </c>
      <c r="Z195" s="32">
        <f>(LN(M195/Q195))*-1</f>
        <v>-1.9291351175986481E-2</v>
      </c>
      <c r="AA195" s="32">
        <f t="shared" si="32"/>
        <v>3.6975454322022891E-3</v>
      </c>
      <c r="AB195" s="32">
        <f t="shared" si="33"/>
        <v>1.421257606736988E-2</v>
      </c>
      <c r="AC195" s="32">
        <f t="shared" ref="AC195:AC258" si="35">SUM(AA195,AB195)</f>
        <v>1.7910121499572169E-2</v>
      </c>
      <c r="AD195" s="32" t="s">
        <v>212</v>
      </c>
      <c r="AF195" s="32" t="s">
        <v>488</v>
      </c>
    </row>
    <row r="196" spans="1:32" s="32" customFormat="1" ht="15.75" x14ac:dyDescent="0.2">
      <c r="A196" s="32">
        <v>195</v>
      </c>
      <c r="B196" s="32">
        <v>11</v>
      </c>
      <c r="C196" s="32" t="s">
        <v>25</v>
      </c>
      <c r="D196" s="32" t="s">
        <v>473</v>
      </c>
      <c r="E196" s="32" t="s">
        <v>426</v>
      </c>
      <c r="F196" s="32" t="s">
        <v>133</v>
      </c>
      <c r="G196" s="32" t="s">
        <v>168</v>
      </c>
      <c r="H196" s="32" t="s">
        <v>140</v>
      </c>
      <c r="I196" s="32" t="s">
        <v>356</v>
      </c>
      <c r="J196" s="32">
        <v>11</v>
      </c>
      <c r="K196" s="32" t="s">
        <v>315</v>
      </c>
      <c r="L196" s="32">
        <v>5</v>
      </c>
      <c r="M196" s="32">
        <v>1.0651999999999999</v>
      </c>
      <c r="O196" s="32">
        <v>7.1520000000000028E-2</v>
      </c>
      <c r="P196" s="32">
        <v>5</v>
      </c>
      <c r="Q196" s="32">
        <v>1.0319</v>
      </c>
      <c r="S196" s="32">
        <v>0.27507999999999999</v>
      </c>
      <c r="T196" s="32">
        <v>5</v>
      </c>
      <c r="U196" s="32" t="s">
        <v>476</v>
      </c>
      <c r="V196" s="32">
        <v>50</v>
      </c>
      <c r="W196" s="32">
        <f t="shared" si="29"/>
        <v>50</v>
      </c>
      <c r="X196" s="32" t="str">
        <f t="shared" si="34"/>
        <v>High</v>
      </c>
      <c r="Y196" s="32" t="s">
        <v>474</v>
      </c>
      <c r="Z196" s="32">
        <f>(LN(M196/Q196))*-1</f>
        <v>-3.1760811818108366E-2</v>
      </c>
      <c r="AA196" s="32">
        <f t="shared" si="32"/>
        <v>9.0161824555327679E-4</v>
      </c>
      <c r="AB196" s="32">
        <f t="shared" si="33"/>
        <v>1.421257606736988E-2</v>
      </c>
      <c r="AC196" s="32">
        <f t="shared" si="35"/>
        <v>1.5114194312923157E-2</v>
      </c>
      <c r="AD196" s="32" t="s">
        <v>212</v>
      </c>
      <c r="AF196" s="32" t="s">
        <v>488</v>
      </c>
    </row>
    <row r="197" spans="1:32" s="32" customFormat="1" ht="15.75" x14ac:dyDescent="0.2">
      <c r="A197" s="32">
        <v>196</v>
      </c>
      <c r="B197" s="32">
        <v>11</v>
      </c>
      <c r="C197" s="32" t="s">
        <v>25</v>
      </c>
      <c r="D197" s="32" t="s">
        <v>473</v>
      </c>
      <c r="E197" s="32" t="s">
        <v>426</v>
      </c>
      <c r="F197" s="32" t="s">
        <v>133</v>
      </c>
      <c r="G197" s="32" t="s">
        <v>168</v>
      </c>
      <c r="H197" s="32" t="s">
        <v>140</v>
      </c>
      <c r="I197" s="32" t="s">
        <v>356</v>
      </c>
      <c r="J197" s="32">
        <v>11</v>
      </c>
      <c r="K197" s="32" t="s">
        <v>315</v>
      </c>
      <c r="L197" s="32">
        <v>5</v>
      </c>
      <c r="M197" s="32">
        <v>1.4704900000000001</v>
      </c>
      <c r="O197" s="32">
        <v>0.52324999999999999</v>
      </c>
      <c r="P197" s="32">
        <v>5</v>
      </c>
      <c r="Q197" s="32">
        <v>0.97167999999999999</v>
      </c>
      <c r="S197" s="32">
        <v>0.25918999999999992</v>
      </c>
      <c r="T197" s="32">
        <v>5</v>
      </c>
      <c r="U197" s="32" t="s">
        <v>475</v>
      </c>
      <c r="V197" s="32">
        <v>0.5</v>
      </c>
      <c r="W197" s="32">
        <f t="shared" si="29"/>
        <v>0.5</v>
      </c>
      <c r="X197" s="32" t="str">
        <f t="shared" si="34"/>
        <v>Low</v>
      </c>
      <c r="Y197" s="32" t="s">
        <v>474</v>
      </c>
      <c r="Z197" s="32">
        <f t="shared" ref="Z197:Z207" si="36">LN(M197/Q197)</f>
        <v>0.41432442541363712</v>
      </c>
      <c r="AA197" s="32">
        <f t="shared" si="32"/>
        <v>2.5323534331186955E-2</v>
      </c>
      <c r="AB197" s="32">
        <f t="shared" si="33"/>
        <v>1.4230493179387588E-2</v>
      </c>
      <c r="AC197" s="32">
        <f t="shared" si="35"/>
        <v>3.9554027510574546E-2</v>
      </c>
      <c r="AD197" s="32" t="s">
        <v>212</v>
      </c>
      <c r="AF197" s="32" t="s">
        <v>489</v>
      </c>
    </row>
    <row r="198" spans="1:32" s="32" customFormat="1" ht="15.75" x14ac:dyDescent="0.2">
      <c r="A198" s="32">
        <v>197</v>
      </c>
      <c r="B198" s="32">
        <v>11</v>
      </c>
      <c r="C198" s="32" t="s">
        <v>25</v>
      </c>
      <c r="D198" s="32" t="s">
        <v>473</v>
      </c>
      <c r="E198" s="32" t="s">
        <v>426</v>
      </c>
      <c r="F198" s="32" t="s">
        <v>133</v>
      </c>
      <c r="G198" s="32" t="s">
        <v>168</v>
      </c>
      <c r="H198" s="32" t="s">
        <v>140</v>
      </c>
      <c r="I198" s="32" t="s">
        <v>356</v>
      </c>
      <c r="J198" s="32">
        <v>11</v>
      </c>
      <c r="K198" s="32" t="s">
        <v>315</v>
      </c>
      <c r="L198" s="32">
        <v>5</v>
      </c>
      <c r="M198" s="32">
        <v>1.4949399999999999</v>
      </c>
      <c r="O198" s="32">
        <v>0.42545000000000011</v>
      </c>
      <c r="P198" s="32">
        <v>5</v>
      </c>
      <c r="Q198" s="32">
        <v>0.97167999999999999</v>
      </c>
      <c r="S198" s="32">
        <v>0.25918999999999992</v>
      </c>
      <c r="T198" s="32">
        <v>5</v>
      </c>
      <c r="U198" s="32" t="s">
        <v>477</v>
      </c>
      <c r="V198" s="32">
        <v>5</v>
      </c>
      <c r="W198" s="32">
        <f t="shared" si="29"/>
        <v>5</v>
      </c>
      <c r="X198" s="32" t="str">
        <f t="shared" si="34"/>
        <v>Medium</v>
      </c>
      <c r="Y198" s="32" t="s">
        <v>474</v>
      </c>
      <c r="Z198" s="32">
        <f t="shared" si="36"/>
        <v>0.4308148190908756</v>
      </c>
      <c r="AA198" s="32">
        <f t="shared" si="32"/>
        <v>1.6198676294096017E-2</v>
      </c>
      <c r="AB198" s="32">
        <f t="shared" si="33"/>
        <v>1.4230493179387588E-2</v>
      </c>
      <c r="AC198" s="32">
        <f t="shared" si="35"/>
        <v>3.0429169473483605E-2</v>
      </c>
      <c r="AD198" s="32" t="s">
        <v>212</v>
      </c>
      <c r="AF198" s="32" t="s">
        <v>489</v>
      </c>
    </row>
    <row r="199" spans="1:32" s="32" customFormat="1" ht="15.75" x14ac:dyDescent="0.2">
      <c r="A199" s="32">
        <v>198</v>
      </c>
      <c r="B199" s="32">
        <v>11</v>
      </c>
      <c r="C199" s="32" t="s">
        <v>25</v>
      </c>
      <c r="D199" s="32" t="s">
        <v>473</v>
      </c>
      <c r="E199" s="32" t="s">
        <v>426</v>
      </c>
      <c r="F199" s="32" t="s">
        <v>133</v>
      </c>
      <c r="G199" s="32" t="s">
        <v>168</v>
      </c>
      <c r="H199" s="32" t="s">
        <v>140</v>
      </c>
      <c r="I199" s="32" t="s">
        <v>356</v>
      </c>
      <c r="J199" s="32">
        <v>11</v>
      </c>
      <c r="K199" s="32" t="s">
        <v>315</v>
      </c>
      <c r="L199" s="32">
        <v>5</v>
      </c>
      <c r="M199" s="32">
        <v>2.17957</v>
      </c>
      <c r="O199" s="32">
        <v>0.83135000000000003</v>
      </c>
      <c r="P199" s="32">
        <v>5</v>
      </c>
      <c r="Q199" s="32">
        <v>0.97167999999999999</v>
      </c>
      <c r="S199" s="32">
        <v>0.25918999999999992</v>
      </c>
      <c r="T199" s="32">
        <v>5</v>
      </c>
      <c r="U199" s="32" t="s">
        <v>476</v>
      </c>
      <c r="V199" s="32">
        <v>50</v>
      </c>
      <c r="W199" s="32">
        <f t="shared" si="29"/>
        <v>50</v>
      </c>
      <c r="X199" s="32" t="str">
        <f t="shared" si="34"/>
        <v>High</v>
      </c>
      <c r="Y199" s="32" t="s">
        <v>474</v>
      </c>
      <c r="Z199" s="32">
        <f t="shared" si="36"/>
        <v>0.80785635647156018</v>
      </c>
      <c r="AA199" s="32">
        <f t="shared" si="32"/>
        <v>2.9097532020220904E-2</v>
      </c>
      <c r="AB199" s="32">
        <f t="shared" si="33"/>
        <v>1.4230493179387588E-2</v>
      </c>
      <c r="AC199" s="32">
        <f t="shared" si="35"/>
        <v>4.3328025199608489E-2</v>
      </c>
      <c r="AD199" s="32" t="s">
        <v>212</v>
      </c>
      <c r="AF199" s="32" t="s">
        <v>489</v>
      </c>
    </row>
    <row r="200" spans="1:32" s="32" customFormat="1" ht="15.75" x14ac:dyDescent="0.2">
      <c r="A200" s="32">
        <v>199</v>
      </c>
      <c r="B200" s="32">
        <v>11</v>
      </c>
      <c r="C200" s="32" t="s">
        <v>25</v>
      </c>
      <c r="D200" s="32" t="s">
        <v>473</v>
      </c>
      <c r="E200" s="32" t="s">
        <v>426</v>
      </c>
      <c r="F200" s="32" t="s">
        <v>133</v>
      </c>
      <c r="G200" s="32" t="s">
        <v>168</v>
      </c>
      <c r="H200" s="32" t="s">
        <v>140</v>
      </c>
      <c r="I200" s="32" t="s">
        <v>356</v>
      </c>
      <c r="J200" s="32">
        <v>11</v>
      </c>
      <c r="K200" s="32" t="s">
        <v>315</v>
      </c>
      <c r="L200" s="32">
        <v>5</v>
      </c>
      <c r="M200" s="32">
        <v>0.81991000000000003</v>
      </c>
      <c r="O200" s="32">
        <v>0.23843999999999987</v>
      </c>
      <c r="P200" s="32">
        <v>5</v>
      </c>
      <c r="Q200" s="32">
        <v>1.0237700000000001</v>
      </c>
      <c r="S200" s="32">
        <v>0.14015</v>
      </c>
      <c r="T200" s="32">
        <v>5</v>
      </c>
      <c r="U200" s="32" t="s">
        <v>475</v>
      </c>
      <c r="V200" s="32">
        <v>0.5</v>
      </c>
      <c r="W200" s="32">
        <f t="shared" si="29"/>
        <v>0.5</v>
      </c>
      <c r="X200" s="32" t="str">
        <f t="shared" si="34"/>
        <v>Low</v>
      </c>
      <c r="Y200" s="32" t="s">
        <v>474</v>
      </c>
      <c r="Z200" s="32">
        <f t="shared" si="36"/>
        <v>-0.22205259285889314</v>
      </c>
      <c r="AA200" s="32">
        <f t="shared" si="32"/>
        <v>1.6914371124585915E-2</v>
      </c>
      <c r="AB200" s="32">
        <f t="shared" si="33"/>
        <v>3.7481020047127746E-3</v>
      </c>
      <c r="AC200" s="32">
        <f t="shared" si="35"/>
        <v>2.066247312929869E-2</v>
      </c>
      <c r="AD200" s="32" t="s">
        <v>212</v>
      </c>
      <c r="AF200" s="32" t="s">
        <v>490</v>
      </c>
    </row>
    <row r="201" spans="1:32" s="32" customFormat="1" ht="15.75" x14ac:dyDescent="0.2">
      <c r="A201" s="32">
        <v>200</v>
      </c>
      <c r="B201" s="32">
        <v>11</v>
      </c>
      <c r="C201" s="32" t="s">
        <v>25</v>
      </c>
      <c r="D201" s="32" t="s">
        <v>473</v>
      </c>
      <c r="E201" s="32" t="s">
        <v>426</v>
      </c>
      <c r="F201" s="32" t="s">
        <v>133</v>
      </c>
      <c r="G201" s="32" t="s">
        <v>168</v>
      </c>
      <c r="H201" s="32" t="s">
        <v>140</v>
      </c>
      <c r="I201" s="32" t="s">
        <v>356</v>
      </c>
      <c r="J201" s="32">
        <v>11</v>
      </c>
      <c r="K201" s="32" t="s">
        <v>315</v>
      </c>
      <c r="L201" s="32">
        <v>5</v>
      </c>
      <c r="M201" s="32">
        <v>0.73982999999999999</v>
      </c>
      <c r="O201" s="32">
        <v>8.9180000000000037E-2</v>
      </c>
      <c r="P201" s="32">
        <v>5</v>
      </c>
      <c r="Q201" s="32">
        <v>1.0237700000000001</v>
      </c>
      <c r="S201" s="32">
        <v>0.14015</v>
      </c>
      <c r="T201" s="32">
        <v>5</v>
      </c>
      <c r="U201" s="32" t="s">
        <v>477</v>
      </c>
      <c r="V201" s="32">
        <v>5</v>
      </c>
      <c r="W201" s="32">
        <f t="shared" si="29"/>
        <v>5</v>
      </c>
      <c r="X201" s="32" t="str">
        <f t="shared" si="34"/>
        <v>Medium</v>
      </c>
      <c r="Y201" s="32" t="s">
        <v>474</v>
      </c>
      <c r="Z201" s="32">
        <f t="shared" si="36"/>
        <v>-0.32482674091942049</v>
      </c>
      <c r="AA201" s="32">
        <f t="shared" si="32"/>
        <v>2.9060364404382079E-3</v>
      </c>
      <c r="AB201" s="32">
        <f t="shared" si="33"/>
        <v>3.7481020047127746E-3</v>
      </c>
      <c r="AC201" s="32">
        <f t="shared" si="35"/>
        <v>6.6541384451509825E-3</v>
      </c>
      <c r="AD201" s="32" t="s">
        <v>212</v>
      </c>
      <c r="AF201" s="32" t="s">
        <v>490</v>
      </c>
    </row>
    <row r="202" spans="1:32" s="32" customFormat="1" ht="15.75" x14ac:dyDescent="0.2">
      <c r="A202" s="32">
        <v>201</v>
      </c>
      <c r="B202" s="32">
        <v>11</v>
      </c>
      <c r="C202" s="32" t="s">
        <v>25</v>
      </c>
      <c r="D202" s="32" t="s">
        <v>473</v>
      </c>
      <c r="E202" s="32" t="s">
        <v>426</v>
      </c>
      <c r="F202" s="32" t="s">
        <v>133</v>
      </c>
      <c r="G202" s="32" t="s">
        <v>168</v>
      </c>
      <c r="H202" s="32" t="s">
        <v>140</v>
      </c>
      <c r="I202" s="32" t="s">
        <v>356</v>
      </c>
      <c r="J202" s="32">
        <v>11</v>
      </c>
      <c r="K202" s="32" t="s">
        <v>315</v>
      </c>
      <c r="L202" s="32">
        <v>5</v>
      </c>
      <c r="M202" s="32">
        <v>0.46681</v>
      </c>
      <c r="O202" s="32">
        <v>0.15106999999999998</v>
      </c>
      <c r="P202" s="32">
        <v>5</v>
      </c>
      <c r="Q202" s="32">
        <v>1.0237700000000001</v>
      </c>
      <c r="S202" s="32">
        <v>0.14015</v>
      </c>
      <c r="T202" s="32">
        <v>5</v>
      </c>
      <c r="U202" s="32" t="s">
        <v>476</v>
      </c>
      <c r="V202" s="32">
        <v>50</v>
      </c>
      <c r="W202" s="32">
        <f t="shared" si="29"/>
        <v>50</v>
      </c>
      <c r="X202" s="32" t="str">
        <f t="shared" si="34"/>
        <v>High</v>
      </c>
      <c r="Y202" s="32" t="s">
        <v>474</v>
      </c>
      <c r="Z202" s="32">
        <f t="shared" si="36"/>
        <v>-0.78532484836231786</v>
      </c>
      <c r="AA202" s="32">
        <f t="shared" si="32"/>
        <v>2.0946243708986685E-2</v>
      </c>
      <c r="AB202" s="32">
        <f t="shared" si="33"/>
        <v>3.7481020047127746E-3</v>
      </c>
      <c r="AC202" s="32">
        <f t="shared" si="35"/>
        <v>2.469434571369946E-2</v>
      </c>
      <c r="AD202" s="32" t="s">
        <v>212</v>
      </c>
      <c r="AF202" s="32" t="s">
        <v>490</v>
      </c>
    </row>
    <row r="203" spans="1:32" s="32" customFormat="1" ht="15.75" x14ac:dyDescent="0.2">
      <c r="A203" s="32">
        <v>202</v>
      </c>
      <c r="B203" s="32">
        <v>11</v>
      </c>
      <c r="C203" s="32" t="s">
        <v>25</v>
      </c>
      <c r="D203" s="32" t="s">
        <v>473</v>
      </c>
      <c r="E203" s="32" t="s">
        <v>426</v>
      </c>
      <c r="F203" s="32" t="s">
        <v>133</v>
      </c>
      <c r="G203" s="32" t="s">
        <v>168</v>
      </c>
      <c r="H203" s="32" t="s">
        <v>140</v>
      </c>
      <c r="I203" s="32" t="s">
        <v>356</v>
      </c>
      <c r="J203" s="32">
        <v>11</v>
      </c>
      <c r="K203" s="32" t="s">
        <v>315</v>
      </c>
      <c r="L203" s="32">
        <v>5</v>
      </c>
      <c r="M203" s="32">
        <v>0.72980999999999996</v>
      </c>
      <c r="O203" s="32">
        <v>0.14376</v>
      </c>
      <c r="P203" s="32">
        <v>5</v>
      </c>
      <c r="Q203" s="32">
        <v>1.0081199999999999</v>
      </c>
      <c r="S203" s="32">
        <v>0.17878000000000016</v>
      </c>
      <c r="T203" s="32">
        <v>5</v>
      </c>
      <c r="U203" s="32" t="s">
        <v>475</v>
      </c>
      <c r="V203" s="32">
        <v>0.5</v>
      </c>
      <c r="W203" s="32">
        <f t="shared" si="29"/>
        <v>0.5</v>
      </c>
      <c r="X203" s="32" t="str">
        <f t="shared" si="34"/>
        <v>Low</v>
      </c>
      <c r="Y203" s="32" t="s">
        <v>474</v>
      </c>
      <c r="Z203" s="32">
        <f t="shared" si="36"/>
        <v>-0.32305826287207068</v>
      </c>
      <c r="AA203" s="32">
        <f t="shared" si="32"/>
        <v>7.7604428348478152E-3</v>
      </c>
      <c r="AB203" s="32">
        <f t="shared" si="33"/>
        <v>6.289895063708301E-3</v>
      </c>
      <c r="AC203" s="32">
        <f t="shared" si="35"/>
        <v>1.4050337898556116E-2</v>
      </c>
      <c r="AD203" s="32" t="s">
        <v>212</v>
      </c>
      <c r="AF203" s="32" t="s">
        <v>491</v>
      </c>
    </row>
    <row r="204" spans="1:32" s="32" customFormat="1" ht="15.75" x14ac:dyDescent="0.2">
      <c r="A204" s="32">
        <v>203</v>
      </c>
      <c r="B204" s="32">
        <v>11</v>
      </c>
      <c r="C204" s="32" t="s">
        <v>25</v>
      </c>
      <c r="D204" s="32" t="s">
        <v>473</v>
      </c>
      <c r="E204" s="32" t="s">
        <v>426</v>
      </c>
      <c r="F204" s="32" t="s">
        <v>133</v>
      </c>
      <c r="G204" s="32" t="s">
        <v>168</v>
      </c>
      <c r="H204" s="32" t="s">
        <v>140</v>
      </c>
      <c r="I204" s="32" t="s">
        <v>356</v>
      </c>
      <c r="J204" s="32">
        <v>11</v>
      </c>
      <c r="K204" s="32" t="s">
        <v>315</v>
      </c>
      <c r="L204" s="32">
        <v>5</v>
      </c>
      <c r="M204" s="32">
        <v>0.72980999999999996</v>
      </c>
      <c r="O204" s="32">
        <v>0.18800000000000006</v>
      </c>
      <c r="P204" s="32">
        <v>5</v>
      </c>
      <c r="Q204" s="32">
        <v>1.0081199999999999</v>
      </c>
      <c r="S204" s="32">
        <v>0.17878000000000016</v>
      </c>
      <c r="T204" s="32">
        <v>5</v>
      </c>
      <c r="U204" s="32" t="s">
        <v>477</v>
      </c>
      <c r="V204" s="32">
        <v>5</v>
      </c>
      <c r="W204" s="32">
        <f t="shared" si="29"/>
        <v>5</v>
      </c>
      <c r="X204" s="32" t="str">
        <f t="shared" si="34"/>
        <v>Medium</v>
      </c>
      <c r="Y204" s="32" t="s">
        <v>474</v>
      </c>
      <c r="Z204" s="32">
        <f t="shared" si="36"/>
        <v>-0.32305826287207068</v>
      </c>
      <c r="AA204" s="32">
        <f t="shared" si="32"/>
        <v>1.3271685281270764E-2</v>
      </c>
      <c r="AB204" s="32">
        <f t="shared" si="33"/>
        <v>6.289895063708301E-3</v>
      </c>
      <c r="AC204" s="32">
        <f t="shared" si="35"/>
        <v>1.9561580344979065E-2</v>
      </c>
      <c r="AD204" s="32" t="s">
        <v>212</v>
      </c>
      <c r="AF204" s="32" t="s">
        <v>491</v>
      </c>
    </row>
    <row r="205" spans="1:32" s="32" customFormat="1" ht="15.75" x14ac:dyDescent="0.2">
      <c r="A205" s="32">
        <v>204</v>
      </c>
      <c r="B205" s="32">
        <v>11</v>
      </c>
      <c r="C205" s="32" t="s">
        <v>25</v>
      </c>
      <c r="D205" s="32" t="s">
        <v>473</v>
      </c>
      <c r="E205" s="32" t="s">
        <v>426</v>
      </c>
      <c r="F205" s="32" t="s">
        <v>133</v>
      </c>
      <c r="G205" s="32" t="s">
        <v>168</v>
      </c>
      <c r="H205" s="32" t="s">
        <v>140</v>
      </c>
      <c r="I205" s="32" t="s">
        <v>356</v>
      </c>
      <c r="J205" s="32">
        <v>11</v>
      </c>
      <c r="K205" s="32" t="s">
        <v>315</v>
      </c>
      <c r="L205" s="32">
        <v>5</v>
      </c>
      <c r="M205" s="32">
        <v>0.35565999999999998</v>
      </c>
      <c r="O205" s="32">
        <v>0.16956000000000004</v>
      </c>
      <c r="P205" s="32">
        <v>5</v>
      </c>
      <c r="Q205" s="32">
        <v>1.0081199999999999</v>
      </c>
      <c r="S205" s="32">
        <v>0.17878000000000016</v>
      </c>
      <c r="T205" s="32">
        <v>5</v>
      </c>
      <c r="U205" s="32" t="s">
        <v>476</v>
      </c>
      <c r="V205" s="32">
        <v>50</v>
      </c>
      <c r="W205" s="32">
        <f t="shared" si="29"/>
        <v>50</v>
      </c>
      <c r="X205" s="32" t="str">
        <f t="shared" si="34"/>
        <v>High</v>
      </c>
      <c r="Y205" s="32" t="s">
        <v>474</v>
      </c>
      <c r="Z205" s="32">
        <f t="shared" si="36"/>
        <v>-1.0418672708492416</v>
      </c>
      <c r="AA205" s="32">
        <f t="shared" si="32"/>
        <v>4.5457627252743014E-2</v>
      </c>
      <c r="AB205" s="32">
        <f t="shared" si="33"/>
        <v>6.289895063708301E-3</v>
      </c>
      <c r="AC205" s="32">
        <f t="shared" si="35"/>
        <v>5.1747522316451314E-2</v>
      </c>
      <c r="AD205" s="32" t="s">
        <v>212</v>
      </c>
      <c r="AF205" s="32" t="s">
        <v>491</v>
      </c>
    </row>
    <row r="206" spans="1:32" s="33" customFormat="1" ht="15.75" x14ac:dyDescent="0.2">
      <c r="A206" s="33">
        <v>205</v>
      </c>
      <c r="B206" s="33">
        <v>12</v>
      </c>
      <c r="C206" s="33" t="s">
        <v>26</v>
      </c>
      <c r="D206" s="33" t="s">
        <v>494</v>
      </c>
      <c r="E206" s="33" t="s">
        <v>493</v>
      </c>
      <c r="F206" s="33" t="s">
        <v>492</v>
      </c>
      <c r="G206" s="33" t="s">
        <v>499</v>
      </c>
      <c r="H206" s="33" t="s">
        <v>498</v>
      </c>
      <c r="I206" s="33" t="s">
        <v>356</v>
      </c>
      <c r="J206" s="33">
        <v>12</v>
      </c>
      <c r="K206" s="33" t="s">
        <v>495</v>
      </c>
      <c r="L206" s="33">
        <v>3</v>
      </c>
      <c r="M206" s="33">
        <v>57.551430000000003</v>
      </c>
      <c r="N206" s="33">
        <v>16.921969999999995</v>
      </c>
      <c r="O206" s="33">
        <f xml:space="preserve"> N206*SQRT(L206)</f>
        <v>29.309711804156304</v>
      </c>
      <c r="P206" s="33">
        <v>3</v>
      </c>
      <c r="Q206" s="33">
        <v>51.910769999999999</v>
      </c>
      <c r="R206" s="33">
        <v>25.382959999999997</v>
      </c>
      <c r="S206" s="33">
        <f xml:space="preserve"> R206*SQRT(P206)</f>
        <v>43.964576366488501</v>
      </c>
      <c r="T206" s="33">
        <v>3</v>
      </c>
      <c r="U206" s="33" t="s">
        <v>721</v>
      </c>
      <c r="V206" s="33">
        <v>2.1999999999999998E-9</v>
      </c>
      <c r="W206" s="33">
        <f>V206*1000</f>
        <v>2.1999999999999997E-6</v>
      </c>
      <c r="X206" s="33" t="str">
        <f t="shared" si="34"/>
        <v>Low</v>
      </c>
      <c r="Y206" s="33" t="s">
        <v>501</v>
      </c>
      <c r="Z206" s="33">
        <f t="shared" si="36"/>
        <v>0.10315269972291886</v>
      </c>
      <c r="AA206" s="33">
        <f t="shared" si="32"/>
        <v>8.6454898096564176E-2</v>
      </c>
      <c r="AB206" s="33">
        <f t="shared" si="33"/>
        <v>0.23909450167932655</v>
      </c>
      <c r="AC206" s="33">
        <f t="shared" si="35"/>
        <v>0.3255493997758907</v>
      </c>
      <c r="AD206" s="33" t="s">
        <v>502</v>
      </c>
      <c r="AF206" s="33" t="s">
        <v>503</v>
      </c>
    </row>
    <row r="207" spans="1:32" s="33" customFormat="1" ht="15.75" x14ac:dyDescent="0.2">
      <c r="A207" s="33">
        <v>206</v>
      </c>
      <c r="B207" s="33">
        <v>12</v>
      </c>
      <c r="C207" s="33" t="s">
        <v>26</v>
      </c>
      <c r="D207" s="33" t="s">
        <v>494</v>
      </c>
      <c r="E207" s="33" t="s">
        <v>493</v>
      </c>
      <c r="F207" s="33" t="s">
        <v>492</v>
      </c>
      <c r="G207" s="33" t="s">
        <v>499</v>
      </c>
      <c r="H207" s="33" t="s">
        <v>498</v>
      </c>
      <c r="I207" s="33" t="s">
        <v>356</v>
      </c>
      <c r="J207" s="33">
        <v>12</v>
      </c>
      <c r="K207" s="33" t="s">
        <v>495</v>
      </c>
      <c r="L207" s="33">
        <v>3</v>
      </c>
      <c r="M207" s="33">
        <v>3.0050400000000002</v>
      </c>
      <c r="N207" s="33">
        <v>0.14326999999999979</v>
      </c>
      <c r="O207" s="33">
        <f xml:space="preserve"> N207*SQRT(L207)</f>
        <v>0.24815091920039267</v>
      </c>
      <c r="P207" s="33">
        <v>3</v>
      </c>
      <c r="Q207" s="33">
        <v>2.9174799999999999</v>
      </c>
      <c r="R207" s="33">
        <v>7.7609999999999957E-2</v>
      </c>
      <c r="S207" s="33">
        <f xml:space="preserve"> R207*SQRT(P207)</f>
        <v>0.13442446317542048</v>
      </c>
      <c r="T207" s="33">
        <v>3</v>
      </c>
      <c r="U207" s="33" t="s">
        <v>721</v>
      </c>
      <c r="V207" s="33">
        <v>2.1999999999999998E-9</v>
      </c>
      <c r="W207" s="33">
        <f>V207*1000</f>
        <v>2.1999999999999997E-6</v>
      </c>
      <c r="X207" s="33" t="str">
        <f t="shared" si="34"/>
        <v>Low</v>
      </c>
      <c r="Y207" s="33" t="s">
        <v>501</v>
      </c>
      <c r="Z207" s="33">
        <f t="shared" si="36"/>
        <v>2.9570649075820948E-2</v>
      </c>
      <c r="AA207" s="33">
        <f t="shared" si="32"/>
        <v>2.273055329731842E-3</v>
      </c>
      <c r="AB207" s="33">
        <f t="shared" si="33"/>
        <v>7.0765176106745234E-4</v>
      </c>
      <c r="AC207" s="33">
        <f t="shared" si="35"/>
        <v>2.9807070907992943E-3</v>
      </c>
      <c r="AD207" s="33" t="s">
        <v>502</v>
      </c>
      <c r="AF207" s="33" t="s">
        <v>504</v>
      </c>
    </row>
    <row r="208" spans="1:32" s="33" customFormat="1" ht="15.75" x14ac:dyDescent="0.2">
      <c r="A208" s="33">
        <v>207</v>
      </c>
      <c r="B208" s="33">
        <v>12</v>
      </c>
      <c r="C208" s="33" t="s">
        <v>26</v>
      </c>
      <c r="D208" s="33" t="s">
        <v>494</v>
      </c>
      <c r="E208" s="33" t="s">
        <v>493</v>
      </c>
      <c r="F208" s="33" t="s">
        <v>492</v>
      </c>
      <c r="G208" s="33" t="s">
        <v>499</v>
      </c>
      <c r="H208" s="33" t="s">
        <v>498</v>
      </c>
      <c r="I208" s="33" t="s">
        <v>356</v>
      </c>
      <c r="J208" s="33">
        <v>12</v>
      </c>
      <c r="K208" s="33" t="s">
        <v>495</v>
      </c>
      <c r="L208" s="33">
        <v>3</v>
      </c>
      <c r="M208" s="33">
        <v>6.6856999999999998</v>
      </c>
      <c r="N208" s="33">
        <v>0.17777000000000065</v>
      </c>
      <c r="O208" s="33">
        <f xml:space="preserve"> N208*SQRT(L208)</f>
        <v>0.30790667206152045</v>
      </c>
      <c r="P208" s="33">
        <v>3</v>
      </c>
      <c r="Q208" s="33">
        <v>6.6751100000000001</v>
      </c>
      <c r="R208" s="33">
        <v>1.2705000000000002</v>
      </c>
      <c r="S208" s="33">
        <f xml:space="preserve"> R208*SQRT(P208)</f>
        <v>2.2005705510162588</v>
      </c>
      <c r="T208" s="33">
        <v>3</v>
      </c>
      <c r="U208" s="33" t="s">
        <v>721</v>
      </c>
      <c r="V208" s="33">
        <v>2.1999999999999998E-9</v>
      </c>
      <c r="W208" s="33">
        <f>V208*1000</f>
        <v>2.1999999999999997E-6</v>
      </c>
      <c r="X208" s="33" t="str">
        <f t="shared" si="34"/>
        <v>Low</v>
      </c>
      <c r="Y208" s="33" t="s">
        <v>501</v>
      </c>
      <c r="Z208" s="33">
        <f>(LN(M208/Q208))*-1</f>
        <v>-1.5852335625897245E-3</v>
      </c>
      <c r="AA208" s="33">
        <f t="shared" si="32"/>
        <v>7.0700612246614436E-4</v>
      </c>
      <c r="AB208" s="33">
        <f t="shared" si="33"/>
        <v>3.6227009501004666E-2</v>
      </c>
      <c r="AC208" s="33">
        <f t="shared" si="35"/>
        <v>3.693401562347081E-2</v>
      </c>
      <c r="AD208" s="33" t="s">
        <v>502</v>
      </c>
      <c r="AF208" s="33" t="s">
        <v>505</v>
      </c>
    </row>
    <row r="209" spans="1:32" s="34" customFormat="1" ht="15.75" x14ac:dyDescent="0.2">
      <c r="A209" s="34">
        <v>208</v>
      </c>
      <c r="B209" s="34">
        <v>13</v>
      </c>
      <c r="C209" s="34" t="s">
        <v>507</v>
      </c>
      <c r="D209" s="34" t="s">
        <v>522</v>
      </c>
      <c r="E209" s="34" t="s">
        <v>132</v>
      </c>
      <c r="F209" s="34" t="s">
        <v>509</v>
      </c>
      <c r="G209" s="34" t="s">
        <v>168</v>
      </c>
      <c r="H209" s="34" t="s">
        <v>167</v>
      </c>
      <c r="I209" s="34" t="s">
        <v>356</v>
      </c>
      <c r="J209" s="34">
        <v>13</v>
      </c>
      <c r="K209" s="34" t="s">
        <v>182</v>
      </c>
      <c r="L209" s="34">
        <v>3</v>
      </c>
      <c r="M209" s="34">
        <v>1.1216299999999999</v>
      </c>
      <c r="O209" s="34">
        <v>0.10186000000000006</v>
      </c>
      <c r="P209" s="34">
        <v>3</v>
      </c>
      <c r="Q209" s="34">
        <v>1.2403999999999999</v>
      </c>
      <c r="S209" s="34">
        <v>6.1890000000000001E-2</v>
      </c>
      <c r="T209" s="34">
        <v>3</v>
      </c>
      <c r="U209" s="34" t="s">
        <v>523</v>
      </c>
      <c r="V209" s="34">
        <v>0.5</v>
      </c>
      <c r="W209" s="34">
        <f>V209</f>
        <v>0.5</v>
      </c>
      <c r="X209" s="34" t="str">
        <f t="shared" si="34"/>
        <v>Low</v>
      </c>
      <c r="Y209" s="34" t="s">
        <v>510</v>
      </c>
      <c r="Z209" s="34">
        <f>LN(M209/Q209)</f>
        <v>-0.10065092380011009</v>
      </c>
      <c r="AA209" s="34">
        <f t="shared" si="32"/>
        <v>2.749076690449069E-3</v>
      </c>
      <c r="AB209" s="34">
        <f t="shared" si="33"/>
        <v>8.298434979676487E-4</v>
      </c>
      <c r="AC209" s="34">
        <f t="shared" si="35"/>
        <v>3.5789201884167177E-3</v>
      </c>
      <c r="AD209" s="34" t="s">
        <v>512</v>
      </c>
      <c r="AF209" s="34" t="s">
        <v>529</v>
      </c>
    </row>
    <row r="210" spans="1:32" s="34" customFormat="1" ht="15.75" x14ac:dyDescent="0.2">
      <c r="A210" s="34">
        <v>209</v>
      </c>
      <c r="B210" s="34">
        <v>13</v>
      </c>
      <c r="C210" s="34" t="s">
        <v>507</v>
      </c>
      <c r="D210" s="34" t="s">
        <v>522</v>
      </c>
      <c r="E210" s="34" t="s">
        <v>132</v>
      </c>
      <c r="F210" s="34" t="s">
        <v>509</v>
      </c>
      <c r="G210" s="34" t="s">
        <v>168</v>
      </c>
      <c r="H210" s="34" t="s">
        <v>167</v>
      </c>
      <c r="I210" s="34" t="s">
        <v>356</v>
      </c>
      <c r="J210" s="34">
        <v>13</v>
      </c>
      <c r="K210" s="34" t="s">
        <v>182</v>
      </c>
      <c r="L210" s="34">
        <v>3</v>
      </c>
      <c r="M210" s="34">
        <v>1.0474399999999999</v>
      </c>
      <c r="O210" s="34">
        <v>4.2290000000000161E-2</v>
      </c>
      <c r="P210" s="34">
        <v>3</v>
      </c>
      <c r="Q210" s="34">
        <v>1.2403999999999999</v>
      </c>
      <c r="S210" s="34">
        <v>6.1890000000000001E-2</v>
      </c>
      <c r="T210" s="34">
        <v>3</v>
      </c>
      <c r="U210" s="34" t="s">
        <v>523</v>
      </c>
      <c r="V210" s="34">
        <v>0.5</v>
      </c>
      <c r="W210" s="34">
        <f t="shared" ref="W210:W232" si="37">V210</f>
        <v>0.5</v>
      </c>
      <c r="X210" s="34" t="str">
        <f t="shared" si="34"/>
        <v>Low</v>
      </c>
      <c r="Y210" s="34" t="s">
        <v>511</v>
      </c>
      <c r="Z210" s="34">
        <f>LN(M210/Q210)</f>
        <v>-0.16908481630679609</v>
      </c>
      <c r="AA210" s="34">
        <f t="shared" si="32"/>
        <v>5.4337018632577983E-4</v>
      </c>
      <c r="AB210" s="34">
        <f t="shared" si="33"/>
        <v>8.298434979676487E-4</v>
      </c>
      <c r="AC210" s="34">
        <f t="shared" si="35"/>
        <v>1.3732136842934286E-3</v>
      </c>
      <c r="AD210" s="34" t="s">
        <v>512</v>
      </c>
      <c r="AF210" s="34" t="s">
        <v>529</v>
      </c>
    </row>
    <row r="211" spans="1:32" s="34" customFormat="1" ht="15.75" x14ac:dyDescent="0.2">
      <c r="A211" s="34">
        <v>210</v>
      </c>
      <c r="B211" s="34">
        <v>13</v>
      </c>
      <c r="C211" s="34" t="s">
        <v>507</v>
      </c>
      <c r="D211" s="34" t="s">
        <v>522</v>
      </c>
      <c r="E211" s="34" t="s">
        <v>132</v>
      </c>
      <c r="F211" s="34" t="s">
        <v>509</v>
      </c>
      <c r="G211" s="34" t="s">
        <v>168</v>
      </c>
      <c r="H211" s="34" t="s">
        <v>167</v>
      </c>
      <c r="I211" s="34" t="s">
        <v>356</v>
      </c>
      <c r="J211" s="34">
        <v>13</v>
      </c>
      <c r="K211" s="34" t="s">
        <v>182</v>
      </c>
      <c r="L211" s="34">
        <v>3</v>
      </c>
      <c r="M211" s="34">
        <v>0.80105000000000004</v>
      </c>
      <c r="O211" s="34">
        <v>9.5329999999999915E-2</v>
      </c>
      <c r="P211" s="34">
        <v>3</v>
      </c>
      <c r="Q211" s="34">
        <v>1.2403999999999999</v>
      </c>
      <c r="S211" s="34">
        <v>6.1890000000000001E-2</v>
      </c>
      <c r="T211" s="34">
        <v>3</v>
      </c>
      <c r="U211" s="34" t="s">
        <v>523</v>
      </c>
      <c r="V211" s="34">
        <v>0.5</v>
      </c>
      <c r="W211" s="34">
        <f t="shared" si="37"/>
        <v>0.5</v>
      </c>
      <c r="X211" s="34" t="str">
        <f t="shared" si="34"/>
        <v>Low</v>
      </c>
      <c r="Y211" s="34" t="s">
        <v>511</v>
      </c>
      <c r="Z211" s="34">
        <f>LN(M211/Q211)</f>
        <v>-0.43726582013357046</v>
      </c>
      <c r="AA211" s="34">
        <f t="shared" si="32"/>
        <v>4.7208334818202432E-3</v>
      </c>
      <c r="AB211" s="34">
        <f t="shared" si="33"/>
        <v>8.298434979676487E-4</v>
      </c>
      <c r="AC211" s="34">
        <f t="shared" si="35"/>
        <v>5.5506769797878924E-3</v>
      </c>
      <c r="AD211" s="34" t="s">
        <v>512</v>
      </c>
      <c r="AF211" s="34" t="s">
        <v>529</v>
      </c>
    </row>
    <row r="212" spans="1:32" s="34" customFormat="1" ht="15.75" x14ac:dyDescent="0.2">
      <c r="A212" s="34">
        <v>211</v>
      </c>
      <c r="B212" s="34">
        <v>13</v>
      </c>
      <c r="C212" s="34" t="s">
        <v>507</v>
      </c>
      <c r="D212" s="34" t="s">
        <v>522</v>
      </c>
      <c r="E212" s="34" t="s">
        <v>132</v>
      </c>
      <c r="F212" s="34" t="s">
        <v>509</v>
      </c>
      <c r="G212" s="34" t="s">
        <v>168</v>
      </c>
      <c r="H212" s="34" t="s">
        <v>167</v>
      </c>
      <c r="I212" s="34" t="s">
        <v>356</v>
      </c>
      <c r="J212" s="34">
        <v>13</v>
      </c>
      <c r="K212" s="34" t="s">
        <v>182</v>
      </c>
      <c r="L212" s="34">
        <v>3</v>
      </c>
      <c r="M212" s="34">
        <v>2.4195700000000002</v>
      </c>
      <c r="O212" s="34">
        <v>1.4998000000000002</v>
      </c>
      <c r="P212" s="34">
        <v>3</v>
      </c>
      <c r="Q212" s="34">
        <v>2.38611</v>
      </c>
      <c r="S212" s="34">
        <v>1.17499</v>
      </c>
      <c r="T212" s="34">
        <v>3</v>
      </c>
      <c r="U212" s="34" t="s">
        <v>523</v>
      </c>
      <c r="V212" s="34">
        <v>0.5</v>
      </c>
      <c r="W212" s="34">
        <f t="shared" si="37"/>
        <v>0.5</v>
      </c>
      <c r="X212" s="34" t="str">
        <f t="shared" si="34"/>
        <v>Low</v>
      </c>
      <c r="Y212" s="34" t="s">
        <v>510</v>
      </c>
      <c r="Z212" s="34">
        <f t="shared" ref="Z212:Z220" si="38">(LN(M212/Q212))*-1</f>
        <v>-1.3925413553913571E-2</v>
      </c>
      <c r="AA212" s="34">
        <f t="shared" si="32"/>
        <v>0.1280763851896842</v>
      </c>
      <c r="AB212" s="34">
        <f t="shared" si="33"/>
        <v>8.0828806202982176E-2</v>
      </c>
      <c r="AC212" s="34">
        <f t="shared" si="35"/>
        <v>0.20890519139266639</v>
      </c>
      <c r="AD212" s="34" t="s">
        <v>512</v>
      </c>
      <c r="AF212" s="34" t="s">
        <v>436</v>
      </c>
    </row>
    <row r="213" spans="1:32" s="34" customFormat="1" ht="15.75" x14ac:dyDescent="0.2">
      <c r="A213" s="34">
        <v>212</v>
      </c>
      <c r="B213" s="34">
        <v>13</v>
      </c>
      <c r="C213" s="34" t="s">
        <v>507</v>
      </c>
      <c r="D213" s="34" t="s">
        <v>522</v>
      </c>
      <c r="E213" s="34" t="s">
        <v>132</v>
      </c>
      <c r="F213" s="34" t="s">
        <v>509</v>
      </c>
      <c r="G213" s="34" t="s">
        <v>168</v>
      </c>
      <c r="H213" s="34" t="s">
        <v>167</v>
      </c>
      <c r="I213" s="34" t="s">
        <v>356</v>
      </c>
      <c r="J213" s="34">
        <v>13</v>
      </c>
      <c r="K213" s="34" t="s">
        <v>182</v>
      </c>
      <c r="L213" s="34">
        <v>3</v>
      </c>
      <c r="M213" s="34">
        <v>2.5689700000000002</v>
      </c>
      <c r="O213" s="34">
        <v>1.5359799999999999</v>
      </c>
      <c r="P213" s="34">
        <v>3</v>
      </c>
      <c r="Q213" s="34">
        <v>2.38611</v>
      </c>
      <c r="S213" s="34">
        <v>1.17499</v>
      </c>
      <c r="T213" s="34">
        <v>3</v>
      </c>
      <c r="U213" s="34" t="s">
        <v>523</v>
      </c>
      <c r="V213" s="34">
        <v>0.5</v>
      </c>
      <c r="W213" s="34">
        <f t="shared" si="37"/>
        <v>0.5</v>
      </c>
      <c r="X213" s="34" t="str">
        <f t="shared" si="34"/>
        <v>Low</v>
      </c>
      <c r="Y213" s="34" t="s">
        <v>511</v>
      </c>
      <c r="Z213" s="34">
        <f t="shared" si="38"/>
        <v>-7.3840615487710648E-2</v>
      </c>
      <c r="AA213" s="34">
        <f t="shared" si="32"/>
        <v>0.11916035859537377</v>
      </c>
      <c r="AB213" s="34">
        <f t="shared" si="33"/>
        <v>8.0828806202982176E-2</v>
      </c>
      <c r="AC213" s="34">
        <f t="shared" si="35"/>
        <v>0.19998916479835593</v>
      </c>
      <c r="AD213" s="34" t="s">
        <v>512</v>
      </c>
      <c r="AF213" s="34" t="s">
        <v>436</v>
      </c>
    </row>
    <row r="214" spans="1:32" s="34" customFormat="1" ht="15.75" x14ac:dyDescent="0.2">
      <c r="A214" s="34">
        <v>213</v>
      </c>
      <c r="B214" s="34">
        <v>13</v>
      </c>
      <c r="C214" s="34" t="s">
        <v>507</v>
      </c>
      <c r="D214" s="34" t="s">
        <v>522</v>
      </c>
      <c r="E214" s="34" t="s">
        <v>132</v>
      </c>
      <c r="F214" s="34" t="s">
        <v>509</v>
      </c>
      <c r="G214" s="34" t="s">
        <v>168</v>
      </c>
      <c r="H214" s="34" t="s">
        <v>167</v>
      </c>
      <c r="I214" s="34" t="s">
        <v>356</v>
      </c>
      <c r="J214" s="34">
        <v>13</v>
      </c>
      <c r="K214" s="34" t="s">
        <v>182</v>
      </c>
      <c r="L214" s="34">
        <v>3</v>
      </c>
      <c r="M214" s="34">
        <v>2.8521899999999998</v>
      </c>
      <c r="O214" s="34">
        <v>2.09524</v>
      </c>
      <c r="P214" s="34">
        <v>3</v>
      </c>
      <c r="Q214" s="34">
        <v>2.38611</v>
      </c>
      <c r="S214" s="34">
        <v>1.17499</v>
      </c>
      <c r="T214" s="34">
        <v>3</v>
      </c>
      <c r="U214" s="34" t="s">
        <v>523</v>
      </c>
      <c r="V214" s="34">
        <v>0.5</v>
      </c>
      <c r="W214" s="34">
        <f t="shared" si="37"/>
        <v>0.5</v>
      </c>
      <c r="X214" s="34" t="str">
        <f t="shared" si="34"/>
        <v>Low</v>
      </c>
      <c r="Y214" s="34" t="s">
        <v>511</v>
      </c>
      <c r="Z214" s="34">
        <f t="shared" si="38"/>
        <v>-0.17842269537264024</v>
      </c>
      <c r="AA214" s="34">
        <f t="shared" si="32"/>
        <v>0.17988269794760797</v>
      </c>
      <c r="AB214" s="34">
        <f t="shared" si="33"/>
        <v>8.0828806202982176E-2</v>
      </c>
      <c r="AC214" s="34">
        <f t="shared" si="35"/>
        <v>0.26071150415059013</v>
      </c>
      <c r="AD214" s="34" t="s">
        <v>512</v>
      </c>
      <c r="AF214" s="34" t="s">
        <v>436</v>
      </c>
    </row>
    <row r="215" spans="1:32" s="34" customFormat="1" ht="15.75" x14ac:dyDescent="0.2">
      <c r="A215" s="34">
        <v>214</v>
      </c>
      <c r="B215" s="34">
        <v>13</v>
      </c>
      <c r="C215" s="34" t="s">
        <v>507</v>
      </c>
      <c r="D215" s="34" t="s">
        <v>522</v>
      </c>
      <c r="E215" s="34" t="s">
        <v>132</v>
      </c>
      <c r="F215" s="34" t="s">
        <v>509</v>
      </c>
      <c r="G215" s="34" t="s">
        <v>168</v>
      </c>
      <c r="H215" s="34" t="s">
        <v>167</v>
      </c>
      <c r="I215" s="34" t="s">
        <v>356</v>
      </c>
      <c r="J215" s="34">
        <v>13</v>
      </c>
      <c r="K215" s="34" t="s">
        <v>182</v>
      </c>
      <c r="L215" s="34">
        <v>3</v>
      </c>
      <c r="M215" s="34">
        <v>7.2541000000000002</v>
      </c>
      <c r="O215" s="34">
        <v>4.92746</v>
      </c>
      <c r="P215" s="34">
        <v>3</v>
      </c>
      <c r="Q215" s="34">
        <v>6.0819700000000001</v>
      </c>
      <c r="S215" s="34">
        <v>5.2832999999999997</v>
      </c>
      <c r="T215" s="34">
        <v>3</v>
      </c>
      <c r="U215" s="34" t="s">
        <v>523</v>
      </c>
      <c r="V215" s="34">
        <v>0.5</v>
      </c>
      <c r="W215" s="34">
        <f t="shared" si="37"/>
        <v>0.5</v>
      </c>
      <c r="X215" s="34" t="str">
        <f t="shared" si="34"/>
        <v>Low</v>
      </c>
      <c r="Y215" s="34" t="s">
        <v>510</v>
      </c>
      <c r="Z215" s="34">
        <f t="shared" si="38"/>
        <v>-0.17623816960830485</v>
      </c>
      <c r="AA215" s="34">
        <f t="shared" si="32"/>
        <v>0.15380054834809645</v>
      </c>
      <c r="AB215" s="34">
        <f t="shared" si="33"/>
        <v>0.25153634247374318</v>
      </c>
      <c r="AC215" s="34">
        <f t="shared" si="35"/>
        <v>0.40533689082183966</v>
      </c>
      <c r="AD215" s="34" t="s">
        <v>512</v>
      </c>
      <c r="AF215" s="34" t="s">
        <v>530</v>
      </c>
    </row>
    <row r="216" spans="1:32" s="34" customFormat="1" ht="15.75" x14ac:dyDescent="0.2">
      <c r="A216" s="34">
        <v>215</v>
      </c>
      <c r="B216" s="34">
        <v>13</v>
      </c>
      <c r="C216" s="34" t="s">
        <v>507</v>
      </c>
      <c r="D216" s="34" t="s">
        <v>522</v>
      </c>
      <c r="E216" s="34" t="s">
        <v>132</v>
      </c>
      <c r="F216" s="34" t="s">
        <v>509</v>
      </c>
      <c r="G216" s="34" t="s">
        <v>168</v>
      </c>
      <c r="H216" s="34" t="s">
        <v>167</v>
      </c>
      <c r="I216" s="34" t="s">
        <v>356</v>
      </c>
      <c r="J216" s="34">
        <v>13</v>
      </c>
      <c r="K216" s="34" t="s">
        <v>182</v>
      </c>
      <c r="L216" s="34">
        <v>3</v>
      </c>
      <c r="M216" s="34">
        <v>6.2541000000000002</v>
      </c>
      <c r="O216" s="34">
        <v>4.4412700000000003</v>
      </c>
      <c r="P216" s="34">
        <v>3</v>
      </c>
      <c r="Q216" s="34">
        <v>6.0819700000000001</v>
      </c>
      <c r="S216" s="34">
        <v>5.2832999999999997</v>
      </c>
      <c r="T216" s="34">
        <v>3</v>
      </c>
      <c r="U216" s="34" t="s">
        <v>523</v>
      </c>
      <c r="V216" s="34">
        <v>0.5</v>
      </c>
      <c r="W216" s="34">
        <f t="shared" si="37"/>
        <v>0.5</v>
      </c>
      <c r="X216" s="34" t="str">
        <f t="shared" si="34"/>
        <v>Low</v>
      </c>
      <c r="Y216" s="34" t="s">
        <v>511</v>
      </c>
      <c r="Z216" s="34">
        <f t="shared" si="38"/>
        <v>-2.7908592019320815E-2</v>
      </c>
      <c r="AA216" s="34">
        <f t="shared" si="32"/>
        <v>0.16809835190693909</v>
      </c>
      <c r="AB216" s="34">
        <f t="shared" si="33"/>
        <v>0.25153634247374318</v>
      </c>
      <c r="AC216" s="34">
        <f t="shared" si="35"/>
        <v>0.41963469438068224</v>
      </c>
      <c r="AD216" s="34" t="s">
        <v>512</v>
      </c>
      <c r="AF216" s="34" t="s">
        <v>530</v>
      </c>
    </row>
    <row r="217" spans="1:32" s="34" customFormat="1" ht="15.75" x14ac:dyDescent="0.2">
      <c r="A217" s="34">
        <v>216</v>
      </c>
      <c r="B217" s="34">
        <v>13</v>
      </c>
      <c r="C217" s="34" t="s">
        <v>507</v>
      </c>
      <c r="D217" s="34" t="s">
        <v>522</v>
      </c>
      <c r="E217" s="34" t="s">
        <v>132</v>
      </c>
      <c r="F217" s="34" t="s">
        <v>509</v>
      </c>
      <c r="G217" s="34" t="s">
        <v>168</v>
      </c>
      <c r="H217" s="34" t="s">
        <v>167</v>
      </c>
      <c r="I217" s="34" t="s">
        <v>356</v>
      </c>
      <c r="J217" s="34">
        <v>13</v>
      </c>
      <c r="K217" s="34" t="s">
        <v>182</v>
      </c>
      <c r="L217" s="34">
        <v>3</v>
      </c>
      <c r="M217" s="34">
        <v>4.8568600000000002</v>
      </c>
      <c r="O217" s="34">
        <v>4.5532899999999996</v>
      </c>
      <c r="P217" s="34">
        <v>3</v>
      </c>
      <c r="Q217" s="34">
        <v>6.0819700000000001</v>
      </c>
      <c r="S217" s="34">
        <v>5.2832999999999997</v>
      </c>
      <c r="T217" s="34">
        <v>3</v>
      </c>
      <c r="U217" s="34" t="s">
        <v>523</v>
      </c>
      <c r="V217" s="34">
        <v>0.5</v>
      </c>
      <c r="W217" s="34">
        <f t="shared" si="37"/>
        <v>0.5</v>
      </c>
      <c r="X217" s="34" t="str">
        <f t="shared" si="34"/>
        <v>Low</v>
      </c>
      <c r="Y217" s="34" t="s">
        <v>511</v>
      </c>
      <c r="Z217" s="34">
        <f t="shared" si="38"/>
        <v>0.22493651808405324</v>
      </c>
      <c r="AA217" s="34">
        <f t="shared" si="32"/>
        <v>0.29296665888930762</v>
      </c>
      <c r="AB217" s="34">
        <f t="shared" si="33"/>
        <v>0.25153634247374318</v>
      </c>
      <c r="AC217" s="34">
        <f t="shared" si="35"/>
        <v>0.54450300136305074</v>
      </c>
      <c r="AD217" s="34" t="s">
        <v>512</v>
      </c>
      <c r="AF217" s="34" t="s">
        <v>530</v>
      </c>
    </row>
    <row r="218" spans="1:32" s="34" customFormat="1" ht="15.75" x14ac:dyDescent="0.2">
      <c r="A218" s="34">
        <v>217</v>
      </c>
      <c r="B218" s="34">
        <v>13</v>
      </c>
      <c r="C218" s="34" t="s">
        <v>507</v>
      </c>
      <c r="D218" s="34" t="s">
        <v>522</v>
      </c>
      <c r="E218" s="34" t="s">
        <v>132</v>
      </c>
      <c r="F218" s="34" t="s">
        <v>509</v>
      </c>
      <c r="G218" s="34" t="s">
        <v>168</v>
      </c>
      <c r="H218" s="34" t="s">
        <v>167</v>
      </c>
      <c r="I218" s="34" t="s">
        <v>356</v>
      </c>
      <c r="J218" s="34">
        <v>13</v>
      </c>
      <c r="K218" s="34" t="s">
        <v>182</v>
      </c>
      <c r="L218" s="34">
        <v>3</v>
      </c>
      <c r="M218" s="34">
        <v>1.925</v>
      </c>
      <c r="O218" s="34">
        <v>0.71375000000000011</v>
      </c>
      <c r="P218" s="34">
        <v>3</v>
      </c>
      <c r="Q218" s="34">
        <v>1.76841</v>
      </c>
      <c r="S218" s="34">
        <v>0.6539600000000001</v>
      </c>
      <c r="T218" s="34">
        <v>3</v>
      </c>
      <c r="U218" s="34" t="s">
        <v>523</v>
      </c>
      <c r="V218" s="34">
        <v>0.5</v>
      </c>
      <c r="W218" s="34">
        <f t="shared" si="37"/>
        <v>0.5</v>
      </c>
      <c r="X218" s="34" t="str">
        <f t="shared" si="34"/>
        <v>Low</v>
      </c>
      <c r="Y218" s="34" t="s">
        <v>510</v>
      </c>
      <c r="Z218" s="34">
        <f t="shared" si="38"/>
        <v>-8.4845129956560891E-2</v>
      </c>
      <c r="AA218" s="34">
        <f t="shared" si="32"/>
        <v>4.5825743520548724E-2</v>
      </c>
      <c r="AB218" s="34">
        <f t="shared" si="33"/>
        <v>4.5584289643582167E-2</v>
      </c>
      <c r="AC218" s="34">
        <f t="shared" si="35"/>
        <v>9.1410033164130891E-2</v>
      </c>
      <c r="AD218" s="34" t="s">
        <v>512</v>
      </c>
      <c r="AF218" s="34" t="s">
        <v>531</v>
      </c>
    </row>
    <row r="219" spans="1:32" s="34" customFormat="1" ht="15.75" x14ac:dyDescent="0.2">
      <c r="A219" s="34">
        <v>218</v>
      </c>
      <c r="B219" s="34">
        <v>13</v>
      </c>
      <c r="C219" s="34" t="s">
        <v>507</v>
      </c>
      <c r="D219" s="34" t="s">
        <v>522</v>
      </c>
      <c r="E219" s="34" t="s">
        <v>132</v>
      </c>
      <c r="F219" s="34" t="s">
        <v>509</v>
      </c>
      <c r="G219" s="34" t="s">
        <v>168</v>
      </c>
      <c r="H219" s="34" t="s">
        <v>167</v>
      </c>
      <c r="I219" s="34" t="s">
        <v>356</v>
      </c>
      <c r="J219" s="34">
        <v>13</v>
      </c>
      <c r="K219" s="34" t="s">
        <v>182</v>
      </c>
      <c r="L219" s="34">
        <v>3</v>
      </c>
      <c r="M219" s="34">
        <v>1.8236000000000001</v>
      </c>
      <c r="O219" s="34">
        <v>0.68101000000000012</v>
      </c>
      <c r="P219" s="34">
        <v>3</v>
      </c>
      <c r="Q219" s="34">
        <v>1.76841</v>
      </c>
      <c r="S219" s="34">
        <v>0.6539600000000001</v>
      </c>
      <c r="T219" s="34">
        <v>3</v>
      </c>
      <c r="U219" s="34" t="s">
        <v>523</v>
      </c>
      <c r="V219" s="34">
        <v>0.5</v>
      </c>
      <c r="W219" s="34">
        <f t="shared" si="37"/>
        <v>0.5</v>
      </c>
      <c r="X219" s="34" t="str">
        <f t="shared" si="34"/>
        <v>Low</v>
      </c>
      <c r="Y219" s="34" t="s">
        <v>511</v>
      </c>
      <c r="Z219" s="34">
        <f t="shared" si="38"/>
        <v>-3.0731731573962629E-2</v>
      </c>
      <c r="AA219" s="34">
        <f t="shared" si="32"/>
        <v>4.6486468688264747E-2</v>
      </c>
      <c r="AB219" s="34">
        <f t="shared" si="33"/>
        <v>4.5584289643582167E-2</v>
      </c>
      <c r="AC219" s="34">
        <f t="shared" si="35"/>
        <v>9.2070758331846914E-2</v>
      </c>
      <c r="AD219" s="34" t="s">
        <v>512</v>
      </c>
      <c r="AF219" s="34" t="s">
        <v>531</v>
      </c>
    </row>
    <row r="220" spans="1:32" s="34" customFormat="1" ht="15.75" x14ac:dyDescent="0.2">
      <c r="A220" s="34">
        <v>219</v>
      </c>
      <c r="B220" s="34">
        <v>13</v>
      </c>
      <c r="C220" s="34" t="s">
        <v>507</v>
      </c>
      <c r="D220" s="34" t="s">
        <v>522</v>
      </c>
      <c r="E220" s="34" t="s">
        <v>132</v>
      </c>
      <c r="F220" s="34" t="s">
        <v>509</v>
      </c>
      <c r="G220" s="34" t="s">
        <v>168</v>
      </c>
      <c r="H220" s="34" t="s">
        <v>167</v>
      </c>
      <c r="I220" s="34" t="s">
        <v>356</v>
      </c>
      <c r="J220" s="34">
        <v>13</v>
      </c>
      <c r="K220" s="34" t="s">
        <v>182</v>
      </c>
      <c r="L220" s="34">
        <v>3</v>
      </c>
      <c r="M220" s="34">
        <v>1.7843</v>
      </c>
      <c r="O220" s="34">
        <v>0.58455999999999997</v>
      </c>
      <c r="P220" s="34">
        <v>3</v>
      </c>
      <c r="Q220" s="34">
        <v>1.76841</v>
      </c>
      <c r="S220" s="34">
        <v>0.6539600000000001</v>
      </c>
      <c r="T220" s="34">
        <v>3</v>
      </c>
      <c r="U220" s="34" t="s">
        <v>523</v>
      </c>
      <c r="V220" s="34">
        <v>0.5</v>
      </c>
      <c r="W220" s="34">
        <f t="shared" si="37"/>
        <v>0.5</v>
      </c>
      <c r="X220" s="34" t="str">
        <f t="shared" si="34"/>
        <v>Low</v>
      </c>
      <c r="Y220" s="34" t="s">
        <v>511</v>
      </c>
      <c r="Z220" s="34">
        <f t="shared" si="38"/>
        <v>-8.9453436720592343E-3</v>
      </c>
      <c r="AA220" s="34">
        <f t="shared" si="32"/>
        <v>3.577677444689456E-2</v>
      </c>
      <c r="AB220" s="34">
        <f t="shared" si="33"/>
        <v>4.5584289643582167E-2</v>
      </c>
      <c r="AC220" s="34">
        <f t="shared" si="35"/>
        <v>8.136106409047672E-2</v>
      </c>
      <c r="AD220" s="34" t="s">
        <v>512</v>
      </c>
      <c r="AF220" s="34" t="s">
        <v>531</v>
      </c>
    </row>
    <row r="221" spans="1:32" s="34" customFormat="1" ht="15.75" x14ac:dyDescent="0.2">
      <c r="A221" s="34">
        <v>220</v>
      </c>
      <c r="B221" s="34">
        <v>13</v>
      </c>
      <c r="C221" s="34" t="s">
        <v>507</v>
      </c>
      <c r="D221" s="34" t="s">
        <v>522</v>
      </c>
      <c r="E221" s="34" t="s">
        <v>132</v>
      </c>
      <c r="F221" s="34" t="s">
        <v>509</v>
      </c>
      <c r="G221" s="34" t="s">
        <v>168</v>
      </c>
      <c r="H221" s="34" t="s">
        <v>167</v>
      </c>
      <c r="I221" s="34" t="s">
        <v>356</v>
      </c>
      <c r="J221" s="34">
        <v>13</v>
      </c>
      <c r="K221" s="34" t="s">
        <v>182</v>
      </c>
      <c r="L221" s="34">
        <v>3</v>
      </c>
      <c r="M221" s="34">
        <v>3.1741600000000001</v>
      </c>
      <c r="O221" s="34">
        <v>2.10412</v>
      </c>
      <c r="P221" s="34">
        <v>3</v>
      </c>
      <c r="Q221" s="34">
        <v>3.2665999999999999</v>
      </c>
      <c r="S221" s="34">
        <v>2.2734300000000003</v>
      </c>
      <c r="T221" s="34">
        <v>3</v>
      </c>
      <c r="U221" s="34" t="s">
        <v>523</v>
      </c>
      <c r="V221" s="34">
        <v>0.5</v>
      </c>
      <c r="W221" s="34">
        <f t="shared" si="37"/>
        <v>0.5</v>
      </c>
      <c r="X221" s="34" t="str">
        <f t="shared" si="34"/>
        <v>Low</v>
      </c>
      <c r="Y221" s="34" t="s">
        <v>510</v>
      </c>
      <c r="Z221" s="34">
        <f t="shared" ref="Z221:Z234" si="39">LN(M221/Q221)</f>
        <v>-2.8706658225384707E-2</v>
      </c>
      <c r="AA221" s="34">
        <f t="shared" si="32"/>
        <v>0.14647453406367142</v>
      </c>
      <c r="AB221" s="34">
        <f t="shared" si="33"/>
        <v>0.16145444387402969</v>
      </c>
      <c r="AC221" s="34">
        <f t="shared" si="35"/>
        <v>0.30792897793770113</v>
      </c>
      <c r="AD221" s="34" t="s">
        <v>512</v>
      </c>
      <c r="AF221" s="34" t="s">
        <v>504</v>
      </c>
    </row>
    <row r="222" spans="1:32" s="34" customFormat="1" ht="15.75" x14ac:dyDescent="0.2">
      <c r="A222" s="34">
        <v>221</v>
      </c>
      <c r="B222" s="34">
        <v>13</v>
      </c>
      <c r="C222" s="34" t="s">
        <v>507</v>
      </c>
      <c r="D222" s="34" t="s">
        <v>522</v>
      </c>
      <c r="E222" s="34" t="s">
        <v>132</v>
      </c>
      <c r="F222" s="34" t="s">
        <v>509</v>
      </c>
      <c r="G222" s="34" t="s">
        <v>168</v>
      </c>
      <c r="H222" s="34" t="s">
        <v>167</v>
      </c>
      <c r="I222" s="34" t="s">
        <v>356</v>
      </c>
      <c r="J222" s="34">
        <v>13</v>
      </c>
      <c r="K222" s="34" t="s">
        <v>182</v>
      </c>
      <c r="L222" s="34">
        <v>3</v>
      </c>
      <c r="M222" s="34">
        <v>2.0971099999999998</v>
      </c>
      <c r="O222" s="34">
        <v>1.1120200000000002</v>
      </c>
      <c r="P222" s="34">
        <v>3</v>
      </c>
      <c r="Q222" s="34">
        <v>3.2665999999999999</v>
      </c>
      <c r="S222" s="34">
        <v>2.2734300000000003</v>
      </c>
      <c r="T222" s="34">
        <v>3</v>
      </c>
      <c r="U222" s="34" t="s">
        <v>523</v>
      </c>
      <c r="V222" s="34">
        <v>0.5</v>
      </c>
      <c r="W222" s="34">
        <f t="shared" si="37"/>
        <v>0.5</v>
      </c>
      <c r="X222" s="34" t="str">
        <f t="shared" si="34"/>
        <v>Low</v>
      </c>
      <c r="Y222" s="34" t="s">
        <v>511</v>
      </c>
      <c r="Z222" s="34">
        <f t="shared" si="39"/>
        <v>-0.44318948220351528</v>
      </c>
      <c r="AA222" s="34">
        <f t="shared" si="32"/>
        <v>9.3726310039246238E-2</v>
      </c>
      <c r="AB222" s="34">
        <f t="shared" si="33"/>
        <v>0.16145444387402969</v>
      </c>
      <c r="AC222" s="34">
        <f t="shared" si="35"/>
        <v>0.25518075391327594</v>
      </c>
      <c r="AD222" s="34" t="s">
        <v>512</v>
      </c>
      <c r="AF222" s="34" t="s">
        <v>504</v>
      </c>
    </row>
    <row r="223" spans="1:32" s="34" customFormat="1" ht="15.75" x14ac:dyDescent="0.2">
      <c r="A223" s="34">
        <v>222</v>
      </c>
      <c r="B223" s="34">
        <v>13</v>
      </c>
      <c r="C223" s="34" t="s">
        <v>507</v>
      </c>
      <c r="D223" s="34" t="s">
        <v>522</v>
      </c>
      <c r="E223" s="34" t="s">
        <v>132</v>
      </c>
      <c r="F223" s="34" t="s">
        <v>509</v>
      </c>
      <c r="G223" s="34" t="s">
        <v>168</v>
      </c>
      <c r="H223" s="34" t="s">
        <v>167</v>
      </c>
      <c r="I223" s="34" t="s">
        <v>356</v>
      </c>
      <c r="J223" s="34">
        <v>13</v>
      </c>
      <c r="K223" s="34" t="s">
        <v>182</v>
      </c>
      <c r="L223" s="34">
        <v>3</v>
      </c>
      <c r="M223" s="34">
        <v>1.7058500000000001</v>
      </c>
      <c r="O223" s="34">
        <v>0.94778999999999991</v>
      </c>
      <c r="P223" s="34">
        <v>3</v>
      </c>
      <c r="Q223" s="34">
        <v>3.2665999999999999</v>
      </c>
      <c r="S223" s="34">
        <v>2.2734300000000003</v>
      </c>
      <c r="T223" s="34">
        <v>3</v>
      </c>
      <c r="U223" s="34" t="s">
        <v>523</v>
      </c>
      <c r="V223" s="34">
        <v>0.5</v>
      </c>
      <c r="W223" s="34">
        <f t="shared" si="37"/>
        <v>0.5</v>
      </c>
      <c r="X223" s="34" t="str">
        <f t="shared" si="34"/>
        <v>Low</v>
      </c>
      <c r="Y223" s="34" t="s">
        <v>511</v>
      </c>
      <c r="Z223" s="34">
        <f t="shared" si="39"/>
        <v>-0.64968616840373283</v>
      </c>
      <c r="AA223" s="34">
        <f t="shared" si="32"/>
        <v>0.10290140629254819</v>
      </c>
      <c r="AB223" s="34">
        <f t="shared" si="33"/>
        <v>0.16145444387402969</v>
      </c>
      <c r="AC223" s="34">
        <f t="shared" si="35"/>
        <v>0.26435585016657787</v>
      </c>
      <c r="AD223" s="34" t="s">
        <v>512</v>
      </c>
      <c r="AF223" s="34" t="s">
        <v>504</v>
      </c>
    </row>
    <row r="224" spans="1:32" s="34" customFormat="1" ht="15.75" x14ac:dyDescent="0.2">
      <c r="A224" s="34">
        <v>223</v>
      </c>
      <c r="B224" s="34">
        <v>13</v>
      </c>
      <c r="C224" s="34" t="s">
        <v>507</v>
      </c>
      <c r="D224" s="34" t="s">
        <v>522</v>
      </c>
      <c r="E224" s="34" t="s">
        <v>132</v>
      </c>
      <c r="F224" s="34" t="s">
        <v>509</v>
      </c>
      <c r="G224" s="34" t="s">
        <v>168</v>
      </c>
      <c r="H224" s="34" t="s">
        <v>167</v>
      </c>
      <c r="I224" s="34" t="s">
        <v>356</v>
      </c>
      <c r="J224" s="34">
        <v>13</v>
      </c>
      <c r="K224" s="34" t="s">
        <v>182</v>
      </c>
      <c r="L224" s="34">
        <v>3</v>
      </c>
      <c r="M224" s="34">
        <v>7.1050000000000002E-2</v>
      </c>
      <c r="O224" s="34">
        <v>3.2200000000000006E-3</v>
      </c>
      <c r="P224" s="34">
        <v>3</v>
      </c>
      <c r="Q224" s="34">
        <v>0.14199000000000001</v>
      </c>
      <c r="S224" s="34">
        <v>4.1059999999999985E-2</v>
      </c>
      <c r="T224" s="34">
        <v>3</v>
      </c>
      <c r="U224" s="34" t="s">
        <v>523</v>
      </c>
      <c r="V224" s="34">
        <v>0.5</v>
      </c>
      <c r="W224" s="34">
        <f t="shared" si="37"/>
        <v>0.5</v>
      </c>
      <c r="X224" s="34" t="str">
        <f t="shared" si="34"/>
        <v>Low</v>
      </c>
      <c r="Y224" s="34" t="s">
        <v>510</v>
      </c>
      <c r="Z224" s="34">
        <f t="shared" si="39"/>
        <v>-0.69237277804315667</v>
      </c>
      <c r="AA224" s="34">
        <f t="shared" si="32"/>
        <v>6.8464008671244975E-4</v>
      </c>
      <c r="AB224" s="34">
        <f t="shared" si="33"/>
        <v>2.7874116893369293E-2</v>
      </c>
      <c r="AC224" s="34">
        <f t="shared" si="35"/>
        <v>2.8558756980081743E-2</v>
      </c>
      <c r="AD224" s="34" t="s">
        <v>512</v>
      </c>
      <c r="AF224" s="34" t="s">
        <v>368</v>
      </c>
    </row>
    <row r="225" spans="1:32" s="34" customFormat="1" ht="15.75" x14ac:dyDescent="0.2">
      <c r="A225" s="34">
        <v>224</v>
      </c>
      <c r="B225" s="34">
        <v>13</v>
      </c>
      <c r="C225" s="34" t="s">
        <v>507</v>
      </c>
      <c r="D225" s="34" t="s">
        <v>522</v>
      </c>
      <c r="E225" s="34" t="s">
        <v>132</v>
      </c>
      <c r="F225" s="34" t="s">
        <v>509</v>
      </c>
      <c r="G225" s="34" t="s">
        <v>168</v>
      </c>
      <c r="H225" s="34" t="s">
        <v>167</v>
      </c>
      <c r="I225" s="34" t="s">
        <v>356</v>
      </c>
      <c r="J225" s="34">
        <v>13</v>
      </c>
      <c r="K225" s="34" t="s">
        <v>182</v>
      </c>
      <c r="L225" s="34">
        <v>3</v>
      </c>
      <c r="M225" s="34">
        <v>1.2E-2</v>
      </c>
      <c r="O225" s="34">
        <v>5.1599999999999979E-3</v>
      </c>
      <c r="P225" s="34">
        <v>3</v>
      </c>
      <c r="Q225" s="34">
        <v>0.16520000000000001</v>
      </c>
      <c r="S225" s="34">
        <v>4.1059999999999985E-2</v>
      </c>
      <c r="T225" s="34">
        <v>3</v>
      </c>
      <c r="U225" s="34" t="s">
        <v>523</v>
      </c>
      <c r="V225" s="34">
        <v>0.5</v>
      </c>
      <c r="W225" s="34">
        <f t="shared" si="37"/>
        <v>0.5</v>
      </c>
      <c r="X225" s="34" t="str">
        <f t="shared" si="34"/>
        <v>Low</v>
      </c>
      <c r="Y225" s="34" t="s">
        <v>511</v>
      </c>
      <c r="Z225" s="34">
        <f t="shared" si="39"/>
        <v>-2.6222502112988773</v>
      </c>
      <c r="AA225" s="34">
        <f t="shared" si="32"/>
        <v>6.1633333333333283E-2</v>
      </c>
      <c r="AB225" s="34">
        <f t="shared" si="33"/>
        <v>2.0591906110332653E-2</v>
      </c>
      <c r="AC225" s="34">
        <f t="shared" si="35"/>
        <v>8.2225239443665943E-2</v>
      </c>
      <c r="AD225" s="34" t="s">
        <v>512</v>
      </c>
      <c r="AF225" s="34" t="s">
        <v>368</v>
      </c>
    </row>
    <row r="226" spans="1:32" s="34" customFormat="1" ht="15.75" x14ac:dyDescent="0.2">
      <c r="A226" s="34">
        <v>225</v>
      </c>
      <c r="B226" s="34">
        <v>13</v>
      </c>
      <c r="C226" s="34" t="s">
        <v>507</v>
      </c>
      <c r="D226" s="34" t="s">
        <v>522</v>
      </c>
      <c r="E226" s="34" t="s">
        <v>132</v>
      </c>
      <c r="F226" s="34" t="s">
        <v>509</v>
      </c>
      <c r="G226" s="34" t="s">
        <v>168</v>
      </c>
      <c r="H226" s="34" t="s">
        <v>167</v>
      </c>
      <c r="I226" s="34" t="s">
        <v>356</v>
      </c>
      <c r="J226" s="34">
        <v>13</v>
      </c>
      <c r="K226" s="34" t="s">
        <v>182</v>
      </c>
      <c r="L226" s="34">
        <v>3</v>
      </c>
      <c r="M226" s="34">
        <v>9.8199999999999996E-2</v>
      </c>
      <c r="O226" s="34">
        <v>8.1700000000000106E-3</v>
      </c>
      <c r="P226" s="34">
        <v>3</v>
      </c>
      <c r="Q226" s="34">
        <v>0.16520000000000001</v>
      </c>
      <c r="S226" s="34">
        <v>4.1059999999999985E-2</v>
      </c>
      <c r="T226" s="34">
        <v>3</v>
      </c>
      <c r="U226" s="34" t="s">
        <v>523</v>
      </c>
      <c r="V226" s="34">
        <v>0.5</v>
      </c>
      <c r="W226" s="34">
        <f t="shared" si="37"/>
        <v>0.5</v>
      </c>
      <c r="X226" s="34" t="str">
        <f t="shared" si="34"/>
        <v>Low</v>
      </c>
      <c r="Y226" s="34" t="s">
        <v>511</v>
      </c>
      <c r="Z226" s="34">
        <f t="shared" si="39"/>
        <v>-0.52015064572645775</v>
      </c>
      <c r="AA226" s="34">
        <f t="shared" si="32"/>
        <v>2.307277775242905E-3</v>
      </c>
      <c r="AB226" s="34">
        <f t="shared" si="33"/>
        <v>2.0591906110332653E-2</v>
      </c>
      <c r="AC226" s="34">
        <f t="shared" si="35"/>
        <v>2.2899183885575557E-2</v>
      </c>
      <c r="AD226" s="34" t="s">
        <v>512</v>
      </c>
      <c r="AF226" s="34" t="s">
        <v>368</v>
      </c>
    </row>
    <row r="227" spans="1:32" s="34" customFormat="1" ht="15.75" x14ac:dyDescent="0.2">
      <c r="A227" s="34">
        <v>226</v>
      </c>
      <c r="B227" s="34">
        <v>13</v>
      </c>
      <c r="C227" s="34" t="s">
        <v>507</v>
      </c>
      <c r="D227" s="34" t="s">
        <v>522</v>
      </c>
      <c r="E227" s="34" t="s">
        <v>132</v>
      </c>
      <c r="F227" s="34" t="s">
        <v>509</v>
      </c>
      <c r="G227" s="34" t="s">
        <v>168</v>
      </c>
      <c r="H227" s="34" t="s">
        <v>167</v>
      </c>
      <c r="I227" s="34" t="s">
        <v>356</v>
      </c>
      <c r="J227" s="34">
        <v>13</v>
      </c>
      <c r="K227" s="34" t="s">
        <v>182</v>
      </c>
      <c r="L227" s="34">
        <v>3</v>
      </c>
      <c r="M227" s="34">
        <v>235.62299999999999</v>
      </c>
      <c r="O227" s="34">
        <v>10.486660000000001</v>
      </c>
      <c r="P227" s="34">
        <v>3</v>
      </c>
      <c r="Q227" s="34">
        <v>237.50317000000001</v>
      </c>
      <c r="S227" s="34">
        <v>15.120299999999986</v>
      </c>
      <c r="T227" s="34">
        <v>3</v>
      </c>
      <c r="U227" s="34" t="s">
        <v>523</v>
      </c>
      <c r="V227" s="34">
        <v>0.5</v>
      </c>
      <c r="W227" s="34">
        <f t="shared" si="37"/>
        <v>0.5</v>
      </c>
      <c r="X227" s="34" t="str">
        <f t="shared" si="34"/>
        <v>Low</v>
      </c>
      <c r="Y227" s="34" t="s">
        <v>510</v>
      </c>
      <c r="Z227" s="34">
        <f t="shared" si="39"/>
        <v>-7.9479006514508108E-3</v>
      </c>
      <c r="AA227" s="34">
        <f t="shared" si="32"/>
        <v>6.6026421162587539E-4</v>
      </c>
      <c r="AB227" s="34">
        <f t="shared" si="33"/>
        <v>1.351016770711067E-3</v>
      </c>
      <c r="AC227" s="34">
        <f t="shared" si="35"/>
        <v>2.0112809823369425E-3</v>
      </c>
      <c r="AD227" s="34" t="s">
        <v>512</v>
      </c>
      <c r="AF227" s="34" t="s">
        <v>480</v>
      </c>
    </row>
    <row r="228" spans="1:32" s="34" customFormat="1" ht="15.75" x14ac:dyDescent="0.2">
      <c r="A228" s="34">
        <v>227</v>
      </c>
      <c r="B228" s="34">
        <v>13</v>
      </c>
      <c r="C228" s="34" t="s">
        <v>507</v>
      </c>
      <c r="D228" s="34" t="s">
        <v>522</v>
      </c>
      <c r="E228" s="34" t="s">
        <v>132</v>
      </c>
      <c r="F228" s="34" t="s">
        <v>509</v>
      </c>
      <c r="G228" s="34" t="s">
        <v>168</v>
      </c>
      <c r="H228" s="34" t="s">
        <v>167</v>
      </c>
      <c r="I228" s="34" t="s">
        <v>356</v>
      </c>
      <c r="J228" s="34">
        <v>13</v>
      </c>
      <c r="K228" s="34" t="s">
        <v>182</v>
      </c>
      <c r="L228" s="34">
        <v>3</v>
      </c>
      <c r="M228" s="34">
        <v>300.21449999999999</v>
      </c>
      <c r="O228" s="34">
        <v>16.339679999999987</v>
      </c>
      <c r="P228" s="34">
        <v>3</v>
      </c>
      <c r="Q228" s="34">
        <v>237.50317000000001</v>
      </c>
      <c r="S228" s="34">
        <v>15.120299999999986</v>
      </c>
      <c r="T228" s="34">
        <v>3</v>
      </c>
      <c r="U228" s="34" t="s">
        <v>523</v>
      </c>
      <c r="V228" s="34">
        <v>0.5</v>
      </c>
      <c r="W228" s="34">
        <f t="shared" si="37"/>
        <v>0.5</v>
      </c>
      <c r="X228" s="34" t="str">
        <f t="shared" si="34"/>
        <v>Low</v>
      </c>
      <c r="Y228" s="34" t="s">
        <v>511</v>
      </c>
      <c r="Z228" s="34">
        <f t="shared" si="39"/>
        <v>0.23431624841143606</v>
      </c>
      <c r="AA228" s="34">
        <f t="shared" si="32"/>
        <v>9.8742134380388254E-4</v>
      </c>
      <c r="AB228" s="34">
        <f t="shared" si="33"/>
        <v>1.351016770711067E-3</v>
      </c>
      <c r="AC228" s="34">
        <f t="shared" si="35"/>
        <v>2.3384381145149496E-3</v>
      </c>
      <c r="AD228" s="34" t="s">
        <v>512</v>
      </c>
      <c r="AF228" s="34" t="s">
        <v>480</v>
      </c>
    </row>
    <row r="229" spans="1:32" s="34" customFormat="1" ht="15.75" x14ac:dyDescent="0.2">
      <c r="A229" s="34">
        <v>228</v>
      </c>
      <c r="B229" s="34">
        <v>13</v>
      </c>
      <c r="C229" s="34" t="s">
        <v>507</v>
      </c>
      <c r="D229" s="34" t="s">
        <v>522</v>
      </c>
      <c r="E229" s="34" t="s">
        <v>132</v>
      </c>
      <c r="F229" s="34" t="s">
        <v>509</v>
      </c>
      <c r="G229" s="34" t="s">
        <v>168</v>
      </c>
      <c r="H229" s="34" t="s">
        <v>167</v>
      </c>
      <c r="I229" s="34" t="s">
        <v>356</v>
      </c>
      <c r="J229" s="34">
        <v>13</v>
      </c>
      <c r="K229" s="34" t="s">
        <v>182</v>
      </c>
      <c r="L229" s="34">
        <v>3</v>
      </c>
      <c r="M229" s="34">
        <v>356.23599999999999</v>
      </c>
      <c r="O229" s="34">
        <v>21.948820000000012</v>
      </c>
      <c r="P229" s="34">
        <v>3</v>
      </c>
      <c r="Q229" s="34">
        <v>237.50317000000001</v>
      </c>
      <c r="S229" s="34">
        <v>15.120299999999986</v>
      </c>
      <c r="T229" s="34">
        <v>3</v>
      </c>
      <c r="U229" s="34" t="s">
        <v>523</v>
      </c>
      <c r="V229" s="34">
        <v>0.5</v>
      </c>
      <c r="W229" s="34">
        <f t="shared" si="37"/>
        <v>0.5</v>
      </c>
      <c r="X229" s="34" t="str">
        <f t="shared" si="34"/>
        <v>Low</v>
      </c>
      <c r="Y229" s="34" t="s">
        <v>511</v>
      </c>
      <c r="Z229" s="34">
        <f t="shared" si="39"/>
        <v>0.40541246181100821</v>
      </c>
      <c r="AA229" s="34">
        <f t="shared" si="32"/>
        <v>1.2653931751104271E-3</v>
      </c>
      <c r="AB229" s="34">
        <f t="shared" si="33"/>
        <v>1.351016770711067E-3</v>
      </c>
      <c r="AC229" s="34">
        <f t="shared" si="35"/>
        <v>2.6164099458214941E-3</v>
      </c>
      <c r="AD229" s="34" t="s">
        <v>512</v>
      </c>
      <c r="AF229" s="34" t="s">
        <v>480</v>
      </c>
    </row>
    <row r="230" spans="1:32" s="34" customFormat="1" ht="15.75" x14ac:dyDescent="0.2">
      <c r="A230" s="34">
        <v>229</v>
      </c>
      <c r="B230" s="34">
        <v>13</v>
      </c>
      <c r="C230" s="34" t="s">
        <v>507</v>
      </c>
      <c r="D230" s="34" t="s">
        <v>522</v>
      </c>
      <c r="E230" s="34" t="s">
        <v>132</v>
      </c>
      <c r="F230" s="34" t="s">
        <v>509</v>
      </c>
      <c r="G230" s="34" t="s">
        <v>168</v>
      </c>
      <c r="H230" s="34" t="s">
        <v>167</v>
      </c>
      <c r="I230" s="34" t="s">
        <v>356</v>
      </c>
      <c r="J230" s="34">
        <v>13</v>
      </c>
      <c r="K230" s="34" t="s">
        <v>182</v>
      </c>
      <c r="L230" s="34">
        <v>3</v>
      </c>
      <c r="M230" s="34">
        <v>234.65199999999999</v>
      </c>
      <c r="O230" s="34">
        <v>8.2917799999999886</v>
      </c>
      <c r="P230" s="34">
        <v>3</v>
      </c>
      <c r="Q230" s="34">
        <v>235.30829</v>
      </c>
      <c r="S230" s="34">
        <v>17.315179999999998</v>
      </c>
      <c r="T230" s="34">
        <v>3</v>
      </c>
      <c r="U230" s="34" t="s">
        <v>523</v>
      </c>
      <c r="V230" s="34">
        <v>0.5</v>
      </c>
      <c r="W230" s="34">
        <f t="shared" si="37"/>
        <v>0.5</v>
      </c>
      <c r="X230" s="34" t="str">
        <f t="shared" si="34"/>
        <v>Low</v>
      </c>
      <c r="Y230" s="34" t="s">
        <v>510</v>
      </c>
      <c r="Z230" s="34">
        <f t="shared" si="39"/>
        <v>-2.7929611951811673E-3</v>
      </c>
      <c r="AA230" s="34">
        <f t="shared" si="32"/>
        <v>4.1622270412649783E-4</v>
      </c>
      <c r="AB230" s="34">
        <f t="shared" si="33"/>
        <v>1.8049214695654045E-3</v>
      </c>
      <c r="AC230" s="34">
        <f t="shared" si="35"/>
        <v>2.2211441736919024E-3</v>
      </c>
      <c r="AD230" s="34" t="s">
        <v>512</v>
      </c>
      <c r="AF230" s="34" t="s">
        <v>479</v>
      </c>
    </row>
    <row r="231" spans="1:32" s="34" customFormat="1" ht="15.75" x14ac:dyDescent="0.2">
      <c r="A231" s="34">
        <v>230</v>
      </c>
      <c r="B231" s="34">
        <v>13</v>
      </c>
      <c r="C231" s="34" t="s">
        <v>507</v>
      </c>
      <c r="D231" s="34" t="s">
        <v>522</v>
      </c>
      <c r="E231" s="34" t="s">
        <v>132</v>
      </c>
      <c r="F231" s="34" t="s">
        <v>509</v>
      </c>
      <c r="G231" s="34" t="s">
        <v>168</v>
      </c>
      <c r="H231" s="34" t="s">
        <v>167</v>
      </c>
      <c r="I231" s="34" t="s">
        <v>356</v>
      </c>
      <c r="J231" s="34">
        <v>13</v>
      </c>
      <c r="K231" s="34" t="s">
        <v>182</v>
      </c>
      <c r="L231" s="34">
        <v>3</v>
      </c>
      <c r="M231" s="34">
        <v>295.214</v>
      </c>
      <c r="O231" s="34">
        <v>15.364179999999976</v>
      </c>
      <c r="P231" s="34">
        <v>3</v>
      </c>
      <c r="Q231" s="34">
        <v>235.30829</v>
      </c>
      <c r="S231" s="34">
        <v>17.315179999999998</v>
      </c>
      <c r="T231" s="34">
        <v>3</v>
      </c>
      <c r="U231" s="34" t="s">
        <v>523</v>
      </c>
      <c r="V231" s="34">
        <v>0.5</v>
      </c>
      <c r="W231" s="34">
        <f t="shared" si="37"/>
        <v>0.5</v>
      </c>
      <c r="X231" s="34" t="str">
        <f t="shared" si="34"/>
        <v>Low</v>
      </c>
      <c r="Y231" s="34" t="s">
        <v>511</v>
      </c>
      <c r="Z231" s="34">
        <f t="shared" si="39"/>
        <v>0.22680399034411253</v>
      </c>
      <c r="AA231" s="34">
        <f t="shared" si="32"/>
        <v>9.028666674061991E-4</v>
      </c>
      <c r="AB231" s="34">
        <f t="shared" si="33"/>
        <v>1.8049214695654045E-3</v>
      </c>
      <c r="AC231" s="34">
        <f t="shared" si="35"/>
        <v>2.7077881369716034E-3</v>
      </c>
      <c r="AD231" s="34" t="s">
        <v>512</v>
      </c>
      <c r="AF231" s="34" t="s">
        <v>685</v>
      </c>
    </row>
    <row r="232" spans="1:32" s="34" customFormat="1" ht="15.75" x14ac:dyDescent="0.2">
      <c r="A232" s="34">
        <v>231</v>
      </c>
      <c r="B232" s="34">
        <v>13</v>
      </c>
      <c r="C232" s="34" t="s">
        <v>507</v>
      </c>
      <c r="D232" s="34" t="s">
        <v>522</v>
      </c>
      <c r="E232" s="34" t="s">
        <v>132</v>
      </c>
      <c r="F232" s="34" t="s">
        <v>509</v>
      </c>
      <c r="G232" s="34" t="s">
        <v>168</v>
      </c>
      <c r="H232" s="34" t="s">
        <v>167</v>
      </c>
      <c r="I232" s="34" t="s">
        <v>356</v>
      </c>
      <c r="J232" s="34">
        <v>13</v>
      </c>
      <c r="K232" s="34" t="s">
        <v>182</v>
      </c>
      <c r="L232" s="34">
        <v>3</v>
      </c>
      <c r="M232" s="34">
        <v>335.25599999999997</v>
      </c>
      <c r="O232" s="34">
        <v>23.168200000000013</v>
      </c>
      <c r="P232" s="34">
        <v>3</v>
      </c>
      <c r="Q232" s="34">
        <v>235.30829</v>
      </c>
      <c r="S232" s="34">
        <v>17.315179999999998</v>
      </c>
      <c r="T232" s="34">
        <v>3</v>
      </c>
      <c r="U232" s="34" t="s">
        <v>523</v>
      </c>
      <c r="V232" s="34">
        <v>0.5</v>
      </c>
      <c r="W232" s="34">
        <f t="shared" si="37"/>
        <v>0.5</v>
      </c>
      <c r="X232" s="34" t="str">
        <f t="shared" si="34"/>
        <v>Low</v>
      </c>
      <c r="Y232" s="34" t="s">
        <v>511</v>
      </c>
      <c r="Z232" s="34">
        <f t="shared" si="39"/>
        <v>0.35399789236145202</v>
      </c>
      <c r="AA232" s="34">
        <f t="shared" si="32"/>
        <v>1.5918795892249404E-3</v>
      </c>
      <c r="AB232" s="34">
        <f t="shared" si="33"/>
        <v>1.8049214695654045E-3</v>
      </c>
      <c r="AC232" s="34">
        <f t="shared" si="35"/>
        <v>3.3968010587903446E-3</v>
      </c>
      <c r="AD232" s="34" t="s">
        <v>512</v>
      </c>
      <c r="AF232" s="34" t="s">
        <v>686</v>
      </c>
    </row>
    <row r="233" spans="1:32" s="36" customFormat="1" ht="15.75" x14ac:dyDescent="0.2">
      <c r="A233" s="36">
        <v>232</v>
      </c>
      <c r="B233" s="36">
        <v>14</v>
      </c>
      <c r="C233" s="36" t="s">
        <v>555</v>
      </c>
      <c r="D233" s="36" t="s">
        <v>508</v>
      </c>
      <c r="E233" s="36" t="s">
        <v>556</v>
      </c>
      <c r="F233" s="36" t="s">
        <v>557</v>
      </c>
      <c r="G233" s="36" t="s">
        <v>521</v>
      </c>
      <c r="H233" s="36" t="s">
        <v>167</v>
      </c>
      <c r="I233" s="36" t="s">
        <v>356</v>
      </c>
      <c r="J233" s="36">
        <v>14</v>
      </c>
      <c r="K233" s="36" t="s">
        <v>526</v>
      </c>
      <c r="L233" s="36">
        <v>3</v>
      </c>
      <c r="M233" s="36">
        <v>1.0856300000000001</v>
      </c>
      <c r="O233" s="36">
        <v>3.3059999999999867E-2</v>
      </c>
      <c r="P233" s="36">
        <v>3</v>
      </c>
      <c r="Q233" s="36">
        <v>1.3146599999999999</v>
      </c>
      <c r="S233" s="36">
        <v>2.3610000000000131E-2</v>
      </c>
      <c r="T233" s="36">
        <v>3</v>
      </c>
      <c r="U233" s="36" t="s">
        <v>705</v>
      </c>
      <c r="V233" s="36">
        <v>6000</v>
      </c>
      <c r="W233" s="36">
        <f>V233 / 10^9</f>
        <v>6.0000000000000002E-6</v>
      </c>
      <c r="X233" s="36" t="str">
        <f t="shared" si="34"/>
        <v>Low</v>
      </c>
      <c r="Y233" s="36" t="s">
        <v>559</v>
      </c>
      <c r="Z233" s="36">
        <f t="shared" si="39"/>
        <v>-0.19141761342096911</v>
      </c>
      <c r="AA233" s="36">
        <f t="shared" si="32"/>
        <v>3.091154923845647E-4</v>
      </c>
      <c r="AB233" s="36">
        <f t="shared" si="33"/>
        <v>1.0750875212776995E-4</v>
      </c>
      <c r="AC233" s="36">
        <f t="shared" si="35"/>
        <v>4.1662424451233463E-4</v>
      </c>
      <c r="AD233" s="36" t="s">
        <v>558</v>
      </c>
      <c r="AF233" s="36" t="s">
        <v>529</v>
      </c>
    </row>
    <row r="234" spans="1:32" s="36" customFormat="1" ht="15.75" x14ac:dyDescent="0.2">
      <c r="A234" s="36">
        <v>233</v>
      </c>
      <c r="B234" s="36">
        <v>14</v>
      </c>
      <c r="C234" s="36" t="s">
        <v>555</v>
      </c>
      <c r="D234" s="36" t="s">
        <v>508</v>
      </c>
      <c r="E234" s="36" t="s">
        <v>556</v>
      </c>
      <c r="F234" s="36" t="s">
        <v>557</v>
      </c>
      <c r="G234" s="36" t="s">
        <v>521</v>
      </c>
      <c r="H234" s="36" t="s">
        <v>167</v>
      </c>
      <c r="I234" s="36" t="s">
        <v>356</v>
      </c>
      <c r="J234" s="36">
        <v>14</v>
      </c>
      <c r="K234" s="36" t="s">
        <v>526</v>
      </c>
      <c r="L234" s="36">
        <v>3</v>
      </c>
      <c r="M234" s="36">
        <v>0.90146000000000004</v>
      </c>
      <c r="O234" s="36">
        <v>3.6599999999999966E-2</v>
      </c>
      <c r="P234" s="36">
        <v>3</v>
      </c>
      <c r="Q234" s="36">
        <v>1.3146599999999999</v>
      </c>
      <c r="S234" s="36">
        <v>2.3610000000000131E-2</v>
      </c>
      <c r="T234" s="36">
        <v>3</v>
      </c>
      <c r="U234" s="36" t="s">
        <v>560</v>
      </c>
      <c r="V234" s="36">
        <v>6000</v>
      </c>
      <c r="W234" s="36">
        <f t="shared" ref="W234:W248" si="40">V234 / 10^9</f>
        <v>6.0000000000000002E-6</v>
      </c>
      <c r="X234" s="36" t="str">
        <f t="shared" si="34"/>
        <v>Low</v>
      </c>
      <c r="Y234" s="36" t="s">
        <v>559</v>
      </c>
      <c r="Z234" s="36">
        <f t="shared" si="39"/>
        <v>-0.37731768488229311</v>
      </c>
      <c r="AA234" s="36">
        <f t="shared" si="32"/>
        <v>5.4947507191351497E-4</v>
      </c>
      <c r="AB234" s="36">
        <f t="shared" si="33"/>
        <v>1.0750875212776995E-4</v>
      </c>
      <c r="AC234" s="36">
        <f t="shared" si="35"/>
        <v>6.5698382404128495E-4</v>
      </c>
      <c r="AD234" s="36" t="s">
        <v>558</v>
      </c>
      <c r="AF234" s="36" t="s">
        <v>529</v>
      </c>
    </row>
    <row r="235" spans="1:32" s="36" customFormat="1" ht="15.75" x14ac:dyDescent="0.2">
      <c r="A235" s="36">
        <v>234</v>
      </c>
      <c r="B235" s="36">
        <v>14</v>
      </c>
      <c r="C235" s="36" t="s">
        <v>555</v>
      </c>
      <c r="D235" s="36" t="s">
        <v>508</v>
      </c>
      <c r="E235" s="36" t="s">
        <v>556</v>
      </c>
      <c r="F235" s="36" t="s">
        <v>557</v>
      </c>
      <c r="G235" s="36" t="s">
        <v>521</v>
      </c>
      <c r="H235" s="36" t="s">
        <v>167</v>
      </c>
      <c r="I235" s="36" t="s">
        <v>356</v>
      </c>
      <c r="J235" s="36">
        <v>14</v>
      </c>
      <c r="K235" s="36" t="s">
        <v>526</v>
      </c>
      <c r="L235" s="36">
        <v>3</v>
      </c>
      <c r="M235" s="36">
        <v>2.1770900000000002</v>
      </c>
      <c r="O235" s="36">
        <v>0.21</v>
      </c>
      <c r="P235" s="36">
        <v>3</v>
      </c>
      <c r="Q235" s="36">
        <v>1.9873499999999999</v>
      </c>
      <c r="S235" s="36">
        <v>2.0240000000000036E-2</v>
      </c>
      <c r="T235" s="36">
        <v>3</v>
      </c>
      <c r="U235" s="36" t="s">
        <v>560</v>
      </c>
      <c r="V235" s="36">
        <v>6000</v>
      </c>
      <c r="W235" s="36">
        <f t="shared" si="40"/>
        <v>6.0000000000000002E-6</v>
      </c>
      <c r="X235" s="36" t="str">
        <f t="shared" si="34"/>
        <v>Low</v>
      </c>
      <c r="Y235" s="36" t="s">
        <v>559</v>
      </c>
      <c r="Z235" s="36">
        <f t="shared" ref="Z235:Z240" si="41">(LN(M235/Q235))*-1</f>
        <v>-9.1187029693138535E-2</v>
      </c>
      <c r="AA235" s="36">
        <f t="shared" si="32"/>
        <v>3.1014484627008734E-3</v>
      </c>
      <c r="AB235" s="36">
        <f t="shared" si="33"/>
        <v>3.457411270000109E-5</v>
      </c>
      <c r="AC235" s="36">
        <f t="shared" si="35"/>
        <v>3.1360225754008745E-3</v>
      </c>
      <c r="AD235" s="36" t="s">
        <v>558</v>
      </c>
      <c r="AF235" s="36" t="s">
        <v>436</v>
      </c>
    </row>
    <row r="236" spans="1:32" s="36" customFormat="1" ht="15.75" x14ac:dyDescent="0.2">
      <c r="A236" s="36">
        <v>235</v>
      </c>
      <c r="B236" s="36">
        <v>14</v>
      </c>
      <c r="C236" s="36" t="s">
        <v>555</v>
      </c>
      <c r="D236" s="36" t="s">
        <v>508</v>
      </c>
      <c r="E236" s="36" t="s">
        <v>556</v>
      </c>
      <c r="F236" s="36" t="s">
        <v>557</v>
      </c>
      <c r="G236" s="36" t="s">
        <v>521</v>
      </c>
      <c r="H236" s="36" t="s">
        <v>167</v>
      </c>
      <c r="I236" s="36" t="s">
        <v>356</v>
      </c>
      <c r="J236" s="36">
        <v>14</v>
      </c>
      <c r="K236" s="36" t="s">
        <v>526</v>
      </c>
      <c r="L236" s="36">
        <v>3</v>
      </c>
      <c r="M236" s="36">
        <v>2.3339400000000001</v>
      </c>
      <c r="O236" s="36">
        <v>0.124</v>
      </c>
      <c r="P236" s="36">
        <v>3</v>
      </c>
      <c r="Q236" s="36">
        <v>1.9873499999999999</v>
      </c>
      <c r="S236" s="36">
        <v>0.124</v>
      </c>
      <c r="T236" s="36">
        <v>3</v>
      </c>
      <c r="U236" s="36" t="s">
        <v>560</v>
      </c>
      <c r="V236" s="36">
        <v>6000</v>
      </c>
      <c r="W236" s="36">
        <f t="shared" si="40"/>
        <v>6.0000000000000002E-6</v>
      </c>
      <c r="X236" s="36" t="str">
        <f t="shared" si="34"/>
        <v>Low</v>
      </c>
      <c r="Y236" s="36" t="s">
        <v>559</v>
      </c>
      <c r="Z236" s="36">
        <f t="shared" si="41"/>
        <v>-0.16075573359295653</v>
      </c>
      <c r="AA236" s="36">
        <f t="shared" si="32"/>
        <v>9.4089842431666255E-4</v>
      </c>
      <c r="AB236" s="36">
        <f t="shared" si="33"/>
        <v>1.297697288846136E-3</v>
      </c>
      <c r="AC236" s="36">
        <f t="shared" si="35"/>
        <v>2.2385957131627987E-3</v>
      </c>
      <c r="AD236" s="36" t="s">
        <v>558</v>
      </c>
      <c r="AF236" s="36" t="s">
        <v>436</v>
      </c>
    </row>
    <row r="237" spans="1:32" s="36" customFormat="1" ht="15.75" x14ac:dyDescent="0.2">
      <c r="A237" s="36">
        <v>236</v>
      </c>
      <c r="B237" s="36">
        <v>14</v>
      </c>
      <c r="C237" s="36" t="s">
        <v>555</v>
      </c>
      <c r="D237" s="36" t="s">
        <v>508</v>
      </c>
      <c r="E237" s="36" t="s">
        <v>556</v>
      </c>
      <c r="F237" s="36" t="s">
        <v>557</v>
      </c>
      <c r="G237" s="36" t="s">
        <v>521</v>
      </c>
      <c r="H237" s="36" t="s">
        <v>167</v>
      </c>
      <c r="I237" s="36" t="s">
        <v>356</v>
      </c>
      <c r="J237" s="36">
        <v>14</v>
      </c>
      <c r="K237" s="36" t="s">
        <v>526</v>
      </c>
      <c r="L237" s="36">
        <v>3</v>
      </c>
      <c r="M237" s="36">
        <v>6.9756900000000002</v>
      </c>
      <c r="O237" s="36">
        <v>1.032</v>
      </c>
      <c r="P237" s="36">
        <v>3</v>
      </c>
      <c r="Q237" s="36">
        <v>7.1780799999999996</v>
      </c>
      <c r="S237" s="36">
        <v>1.02</v>
      </c>
      <c r="T237" s="36">
        <v>3</v>
      </c>
      <c r="U237" s="36" t="s">
        <v>560</v>
      </c>
      <c r="V237" s="36">
        <v>6000</v>
      </c>
      <c r="W237" s="36">
        <f t="shared" si="40"/>
        <v>6.0000000000000002E-6</v>
      </c>
      <c r="X237" s="36" t="str">
        <f t="shared" si="34"/>
        <v>Low</v>
      </c>
      <c r="Y237" s="36" t="s">
        <v>559</v>
      </c>
      <c r="Z237" s="36">
        <f t="shared" si="41"/>
        <v>2.8600690283209364E-2</v>
      </c>
      <c r="AA237" s="36">
        <f t="shared" si="32"/>
        <v>7.2956467112010159E-3</v>
      </c>
      <c r="AB237" s="36">
        <f t="shared" si="33"/>
        <v>6.730735128377914E-3</v>
      </c>
      <c r="AC237" s="36">
        <f t="shared" si="35"/>
        <v>1.402638183957893E-2</v>
      </c>
      <c r="AD237" s="36" t="s">
        <v>558</v>
      </c>
      <c r="AF237" s="36" t="s">
        <v>530</v>
      </c>
    </row>
    <row r="238" spans="1:32" s="36" customFormat="1" ht="15.75" x14ac:dyDescent="0.2">
      <c r="A238" s="36">
        <v>237</v>
      </c>
      <c r="B238" s="36">
        <v>14</v>
      </c>
      <c r="C238" s="36" t="s">
        <v>555</v>
      </c>
      <c r="D238" s="36" t="s">
        <v>508</v>
      </c>
      <c r="E238" s="36" t="s">
        <v>556</v>
      </c>
      <c r="F238" s="36" t="s">
        <v>557</v>
      </c>
      <c r="G238" s="36" t="s">
        <v>521</v>
      </c>
      <c r="H238" s="36" t="s">
        <v>167</v>
      </c>
      <c r="I238" s="36" t="s">
        <v>356</v>
      </c>
      <c r="J238" s="36">
        <v>14</v>
      </c>
      <c r="K238" s="36" t="s">
        <v>526</v>
      </c>
      <c r="L238" s="36">
        <v>3</v>
      </c>
      <c r="M238" s="36">
        <v>5.1812199999999997</v>
      </c>
      <c r="O238" s="36">
        <v>0.1281800000000004</v>
      </c>
      <c r="P238" s="36">
        <v>3</v>
      </c>
      <c r="Q238" s="36">
        <v>7.1780799999999996</v>
      </c>
      <c r="S238" s="36">
        <v>0.15516000000000041</v>
      </c>
      <c r="T238" s="36">
        <v>3</v>
      </c>
      <c r="U238" s="36" t="s">
        <v>560</v>
      </c>
      <c r="V238" s="36">
        <v>6000</v>
      </c>
      <c r="W238" s="36">
        <f t="shared" si="40"/>
        <v>6.0000000000000002E-6</v>
      </c>
      <c r="X238" s="36" t="str">
        <f t="shared" si="34"/>
        <v>Low</v>
      </c>
      <c r="Y238" s="36" t="s">
        <v>559</v>
      </c>
      <c r="Z238" s="36">
        <f t="shared" si="41"/>
        <v>0.32599138805295214</v>
      </c>
      <c r="AA238" s="36">
        <f t="shared" si="32"/>
        <v>2.0401176503710437E-4</v>
      </c>
      <c r="AB238" s="36">
        <f t="shared" si="33"/>
        <v>1.5574772032724634E-4</v>
      </c>
      <c r="AC238" s="36">
        <f t="shared" si="35"/>
        <v>3.5975948536435068E-4</v>
      </c>
      <c r="AD238" s="36" t="s">
        <v>558</v>
      </c>
      <c r="AF238" s="36" t="s">
        <v>530</v>
      </c>
    </row>
    <row r="239" spans="1:32" s="36" customFormat="1" ht="15.75" x14ac:dyDescent="0.2">
      <c r="A239" s="36">
        <v>238</v>
      </c>
      <c r="B239" s="36">
        <v>14</v>
      </c>
      <c r="C239" s="36" t="s">
        <v>555</v>
      </c>
      <c r="D239" s="36" t="s">
        <v>508</v>
      </c>
      <c r="E239" s="36" t="s">
        <v>556</v>
      </c>
      <c r="F239" s="36" t="s">
        <v>557</v>
      </c>
      <c r="G239" s="36" t="s">
        <v>521</v>
      </c>
      <c r="H239" s="36" t="s">
        <v>167</v>
      </c>
      <c r="I239" s="36" t="s">
        <v>356</v>
      </c>
      <c r="J239" s="36">
        <v>14</v>
      </c>
      <c r="K239" s="36" t="s">
        <v>526</v>
      </c>
      <c r="L239" s="36">
        <v>3</v>
      </c>
      <c r="M239" s="36">
        <v>1.6697200000000001</v>
      </c>
      <c r="O239" s="36">
        <v>3.0349999999999877E-2</v>
      </c>
      <c r="P239" s="36">
        <v>3</v>
      </c>
      <c r="Q239" s="36">
        <v>1.7473000000000001</v>
      </c>
      <c r="S239" s="36">
        <v>3.878999999999988E-2</v>
      </c>
      <c r="T239" s="36">
        <v>3</v>
      </c>
      <c r="U239" s="36" t="s">
        <v>560</v>
      </c>
      <c r="V239" s="36">
        <v>6000</v>
      </c>
      <c r="W239" s="36">
        <f t="shared" si="40"/>
        <v>6.0000000000000002E-6</v>
      </c>
      <c r="X239" s="36" t="str">
        <f t="shared" si="34"/>
        <v>Low</v>
      </c>
      <c r="Y239" s="36" t="s">
        <v>559</v>
      </c>
      <c r="Z239" s="36">
        <f t="shared" si="41"/>
        <v>4.5415791662142761E-2</v>
      </c>
      <c r="AA239" s="36">
        <f t="shared" si="32"/>
        <v>1.1013081108451412E-4</v>
      </c>
      <c r="AB239" s="36">
        <f t="shared" si="33"/>
        <v>1.6427949178772104E-4</v>
      </c>
      <c r="AC239" s="36">
        <f t="shared" si="35"/>
        <v>2.7441030287223516E-4</v>
      </c>
      <c r="AD239" s="36" t="s">
        <v>558</v>
      </c>
      <c r="AF239" s="36" t="s">
        <v>531</v>
      </c>
    </row>
    <row r="240" spans="1:32" s="36" customFormat="1" ht="15.75" x14ac:dyDescent="0.2">
      <c r="A240" s="36">
        <v>239</v>
      </c>
      <c r="B240" s="36">
        <v>14</v>
      </c>
      <c r="C240" s="36" t="s">
        <v>555</v>
      </c>
      <c r="D240" s="36" t="s">
        <v>508</v>
      </c>
      <c r="E240" s="36" t="s">
        <v>556</v>
      </c>
      <c r="F240" s="36" t="s">
        <v>557</v>
      </c>
      <c r="G240" s="36" t="s">
        <v>521</v>
      </c>
      <c r="H240" s="36" t="s">
        <v>167</v>
      </c>
      <c r="I240" s="36" t="s">
        <v>356</v>
      </c>
      <c r="J240" s="36">
        <v>14</v>
      </c>
      <c r="K240" s="36" t="s">
        <v>526</v>
      </c>
      <c r="L240" s="36">
        <v>3</v>
      </c>
      <c r="M240" s="36">
        <v>1.2379599999999999</v>
      </c>
      <c r="O240" s="36">
        <v>1.8550000000000066E-2</v>
      </c>
      <c r="P240" s="36">
        <v>3</v>
      </c>
      <c r="Q240" s="36">
        <v>1.7473000000000001</v>
      </c>
      <c r="S240" s="36">
        <v>3.878999999999988E-2</v>
      </c>
      <c r="T240" s="36">
        <v>3</v>
      </c>
      <c r="U240" s="36" t="s">
        <v>560</v>
      </c>
      <c r="V240" s="36">
        <v>6000</v>
      </c>
      <c r="W240" s="36">
        <f t="shared" si="40"/>
        <v>6.0000000000000002E-6</v>
      </c>
      <c r="X240" s="36" t="str">
        <f t="shared" si="34"/>
        <v>Low</v>
      </c>
      <c r="Y240" s="36" t="s">
        <v>559</v>
      </c>
      <c r="Z240" s="36">
        <f t="shared" si="41"/>
        <v>0.34460687580014232</v>
      </c>
      <c r="AA240" s="36">
        <f t="shared" si="32"/>
        <v>7.4843372434296973E-5</v>
      </c>
      <c r="AB240" s="36">
        <f t="shared" si="33"/>
        <v>1.6427949178772104E-4</v>
      </c>
      <c r="AC240" s="36">
        <f t="shared" si="35"/>
        <v>2.3912286422201801E-4</v>
      </c>
      <c r="AD240" s="36" t="s">
        <v>558</v>
      </c>
      <c r="AF240" s="36" t="s">
        <v>531</v>
      </c>
    </row>
    <row r="241" spans="1:32" s="36" customFormat="1" ht="15.75" x14ac:dyDescent="0.2">
      <c r="A241" s="36">
        <v>240</v>
      </c>
      <c r="B241" s="36">
        <v>14</v>
      </c>
      <c r="C241" s="36" t="s">
        <v>555</v>
      </c>
      <c r="D241" s="36" t="s">
        <v>508</v>
      </c>
      <c r="E241" s="36" t="s">
        <v>556</v>
      </c>
      <c r="F241" s="36" t="s">
        <v>557</v>
      </c>
      <c r="G241" s="36" t="s">
        <v>521</v>
      </c>
      <c r="H241" s="36" t="s">
        <v>167</v>
      </c>
      <c r="I241" s="36" t="s">
        <v>356</v>
      </c>
      <c r="J241" s="36">
        <v>14</v>
      </c>
      <c r="K241" s="36" t="s">
        <v>526</v>
      </c>
      <c r="L241" s="36">
        <v>3</v>
      </c>
      <c r="M241" s="36">
        <v>4.0252999999999997</v>
      </c>
      <c r="O241" s="36">
        <v>2.4008500000000002</v>
      </c>
      <c r="P241" s="36">
        <v>3</v>
      </c>
      <c r="Q241" s="36">
        <v>3.10202</v>
      </c>
      <c r="S241" s="36">
        <v>1.4679199999999999</v>
      </c>
      <c r="T241" s="36">
        <v>3</v>
      </c>
      <c r="U241" s="36" t="s">
        <v>560</v>
      </c>
      <c r="V241" s="36">
        <v>6000</v>
      </c>
      <c r="W241" s="36">
        <f t="shared" si="40"/>
        <v>6.0000000000000002E-6</v>
      </c>
      <c r="X241" s="36" t="str">
        <f t="shared" si="34"/>
        <v>Low</v>
      </c>
      <c r="Y241" s="36" t="s">
        <v>559</v>
      </c>
      <c r="Z241" s="36">
        <f t="shared" ref="Z241:Z252" si="42">LN(M241/Q241)</f>
        <v>0.26054593006766635</v>
      </c>
      <c r="AA241" s="36">
        <f t="shared" si="32"/>
        <v>0.11858023125050073</v>
      </c>
      <c r="AB241" s="36">
        <f t="shared" si="33"/>
        <v>7.464390190727048E-2</v>
      </c>
      <c r="AC241" s="36">
        <f t="shared" si="35"/>
        <v>0.19322413315777121</v>
      </c>
      <c r="AD241" s="36" t="s">
        <v>558</v>
      </c>
      <c r="AF241" s="36" t="s">
        <v>504</v>
      </c>
    </row>
    <row r="242" spans="1:32" s="36" customFormat="1" ht="15.75" x14ac:dyDescent="0.2">
      <c r="A242" s="36">
        <v>241</v>
      </c>
      <c r="B242" s="36">
        <v>14</v>
      </c>
      <c r="C242" s="36" t="s">
        <v>555</v>
      </c>
      <c r="D242" s="36" t="s">
        <v>508</v>
      </c>
      <c r="E242" s="36" t="s">
        <v>556</v>
      </c>
      <c r="F242" s="36" t="s">
        <v>557</v>
      </c>
      <c r="G242" s="36" t="s">
        <v>521</v>
      </c>
      <c r="H242" s="36" t="s">
        <v>167</v>
      </c>
      <c r="I242" s="36" t="s">
        <v>356</v>
      </c>
      <c r="J242" s="36">
        <v>14</v>
      </c>
      <c r="K242" s="36" t="s">
        <v>526</v>
      </c>
      <c r="L242" s="36">
        <v>3</v>
      </c>
      <c r="M242" s="36">
        <v>3.2201399999999998</v>
      </c>
      <c r="O242" s="36">
        <v>2.0097399999999999</v>
      </c>
      <c r="P242" s="36">
        <v>3</v>
      </c>
      <c r="Q242" s="36">
        <v>3.10202</v>
      </c>
      <c r="S242" s="36">
        <v>1.4679199999999999</v>
      </c>
      <c r="T242" s="36">
        <v>3</v>
      </c>
      <c r="U242" s="36" t="s">
        <v>560</v>
      </c>
      <c r="V242" s="36">
        <v>6000</v>
      </c>
      <c r="W242" s="36">
        <f t="shared" si="40"/>
        <v>6.0000000000000002E-6</v>
      </c>
      <c r="X242" s="36" t="str">
        <f t="shared" si="34"/>
        <v>Low</v>
      </c>
      <c r="Y242" s="36" t="s">
        <v>559</v>
      </c>
      <c r="Z242" s="36">
        <f t="shared" si="42"/>
        <v>3.737132468521584E-2</v>
      </c>
      <c r="AA242" s="36">
        <f t="shared" si="32"/>
        <v>0.12984014468134156</v>
      </c>
      <c r="AB242" s="36">
        <f t="shared" si="33"/>
        <v>7.464390190727048E-2</v>
      </c>
      <c r="AC242" s="36">
        <f t="shared" si="35"/>
        <v>0.20448404658861202</v>
      </c>
      <c r="AD242" s="36" t="s">
        <v>558</v>
      </c>
      <c r="AF242" s="36" t="s">
        <v>504</v>
      </c>
    </row>
    <row r="243" spans="1:32" s="36" customFormat="1" ht="15.75" x14ac:dyDescent="0.2">
      <c r="A243" s="36">
        <v>242</v>
      </c>
      <c r="B243" s="36">
        <v>14</v>
      </c>
      <c r="C243" s="36" t="s">
        <v>555</v>
      </c>
      <c r="D243" s="36" t="s">
        <v>508</v>
      </c>
      <c r="E243" s="36" t="s">
        <v>556</v>
      </c>
      <c r="F243" s="36" t="s">
        <v>557</v>
      </c>
      <c r="G243" s="36" t="s">
        <v>521</v>
      </c>
      <c r="H243" s="36" t="s">
        <v>167</v>
      </c>
      <c r="I243" s="36" t="s">
        <v>356</v>
      </c>
      <c r="J243" s="36">
        <v>14</v>
      </c>
      <c r="K243" s="36" t="s">
        <v>526</v>
      </c>
      <c r="L243" s="36">
        <v>3</v>
      </c>
      <c r="M243" s="36">
        <v>6.8019999999999997E-2</v>
      </c>
      <c r="O243" s="36">
        <v>1.0399999999999993E-3</v>
      </c>
      <c r="P243" s="36">
        <v>3</v>
      </c>
      <c r="Q243" s="36">
        <v>0.22639999999999999</v>
      </c>
      <c r="S243" s="36">
        <v>2.1949999999999997E-2</v>
      </c>
      <c r="T243" s="36">
        <v>3</v>
      </c>
      <c r="U243" s="36" t="s">
        <v>560</v>
      </c>
      <c r="V243" s="36">
        <v>6000</v>
      </c>
      <c r="W243" s="36">
        <f t="shared" si="40"/>
        <v>6.0000000000000002E-6</v>
      </c>
      <c r="X243" s="36" t="str">
        <f t="shared" si="34"/>
        <v>Low</v>
      </c>
      <c r="Y243" s="36" t="s">
        <v>559</v>
      </c>
      <c r="Z243" s="36">
        <f t="shared" si="42"/>
        <v>-1.2025015667499785</v>
      </c>
      <c r="AA243" s="36">
        <f t="shared" si="32"/>
        <v>7.7924167047858112E-5</v>
      </c>
      <c r="AB243" s="36">
        <f t="shared" si="33"/>
        <v>3.1332492862107563E-3</v>
      </c>
      <c r="AC243" s="36">
        <f t="shared" si="35"/>
        <v>3.2111734532586146E-3</v>
      </c>
      <c r="AD243" s="36" t="s">
        <v>558</v>
      </c>
      <c r="AF243" s="36" t="s">
        <v>368</v>
      </c>
    </row>
    <row r="244" spans="1:32" s="36" customFormat="1" ht="15.75" x14ac:dyDescent="0.2">
      <c r="A244" s="36">
        <v>243</v>
      </c>
      <c r="B244" s="36">
        <v>14</v>
      </c>
      <c r="C244" s="36" t="s">
        <v>555</v>
      </c>
      <c r="D244" s="36" t="s">
        <v>508</v>
      </c>
      <c r="E244" s="36" t="s">
        <v>556</v>
      </c>
      <c r="F244" s="36" t="s">
        <v>557</v>
      </c>
      <c r="G244" s="36" t="s">
        <v>521</v>
      </c>
      <c r="H244" s="36" t="s">
        <v>167</v>
      </c>
      <c r="I244" s="36" t="s">
        <v>356</v>
      </c>
      <c r="J244" s="36">
        <v>14</v>
      </c>
      <c r="K244" s="36" t="s">
        <v>526</v>
      </c>
      <c r="L244" s="36">
        <v>3</v>
      </c>
      <c r="M244" s="36">
        <v>0.12019000000000001</v>
      </c>
      <c r="O244" s="36">
        <v>2.8900000000000037E-3</v>
      </c>
      <c r="P244" s="36">
        <v>3</v>
      </c>
      <c r="Q244" s="36">
        <v>0.22639999999999999</v>
      </c>
      <c r="S244" s="36">
        <v>2.1949999999999997E-2</v>
      </c>
      <c r="T244" s="36">
        <v>3</v>
      </c>
      <c r="U244" s="36" t="s">
        <v>560</v>
      </c>
      <c r="V244" s="36">
        <v>6000</v>
      </c>
      <c r="W244" s="36">
        <f t="shared" si="40"/>
        <v>6.0000000000000002E-6</v>
      </c>
      <c r="X244" s="36" t="str">
        <f t="shared" si="34"/>
        <v>Low</v>
      </c>
      <c r="Y244" s="36" t="s">
        <v>559</v>
      </c>
      <c r="Z244" s="36">
        <f t="shared" si="42"/>
        <v>-0.63322952236433028</v>
      </c>
      <c r="AA244" s="36">
        <f t="shared" si="32"/>
        <v>1.9272486957727948E-4</v>
      </c>
      <c r="AB244" s="36">
        <f t="shared" si="33"/>
        <v>3.1332492862107563E-3</v>
      </c>
      <c r="AC244" s="36">
        <f t="shared" si="35"/>
        <v>3.3259741557880359E-3</v>
      </c>
      <c r="AD244" s="36" t="s">
        <v>558</v>
      </c>
      <c r="AF244" s="36" t="s">
        <v>368</v>
      </c>
    </row>
    <row r="245" spans="1:32" s="36" customFormat="1" ht="15.75" x14ac:dyDescent="0.2">
      <c r="A245" s="36">
        <v>244</v>
      </c>
      <c r="B245" s="36">
        <v>14</v>
      </c>
      <c r="C245" s="36" t="s">
        <v>555</v>
      </c>
      <c r="D245" s="36" t="s">
        <v>508</v>
      </c>
      <c r="E245" s="36" t="s">
        <v>556</v>
      </c>
      <c r="F245" s="36" t="s">
        <v>557</v>
      </c>
      <c r="G245" s="36" t="s">
        <v>521</v>
      </c>
      <c r="H245" s="36" t="s">
        <v>167</v>
      </c>
      <c r="I245" s="36" t="s">
        <v>356</v>
      </c>
      <c r="J245" s="36">
        <v>14</v>
      </c>
      <c r="K245" s="36" t="s">
        <v>526</v>
      </c>
      <c r="L245" s="36">
        <v>3</v>
      </c>
      <c r="M245" s="36">
        <v>845.26850000000002</v>
      </c>
      <c r="O245" s="36">
        <v>14.215</v>
      </c>
      <c r="P245" s="36">
        <v>3</v>
      </c>
      <c r="Q245" s="36">
        <v>859.27409</v>
      </c>
      <c r="S245" s="36">
        <v>15.243</v>
      </c>
      <c r="T245" s="36">
        <v>3</v>
      </c>
      <c r="U245" s="36" t="s">
        <v>560</v>
      </c>
      <c r="V245" s="36">
        <v>6000</v>
      </c>
      <c r="W245" s="36">
        <f t="shared" si="40"/>
        <v>6.0000000000000002E-6</v>
      </c>
      <c r="X245" s="36" t="str">
        <f t="shared" si="34"/>
        <v>Low</v>
      </c>
      <c r="Y245" s="36" t="s">
        <v>559</v>
      </c>
      <c r="Z245" s="36">
        <f t="shared" si="42"/>
        <v>-1.6433623050760793E-2</v>
      </c>
      <c r="AA245" s="36">
        <f t="shared" si="32"/>
        <v>9.4272083141682661E-5</v>
      </c>
      <c r="AB245" s="36">
        <f t="shared" si="33"/>
        <v>1.0489534397243722E-4</v>
      </c>
      <c r="AC245" s="36">
        <f t="shared" si="35"/>
        <v>1.9916742711411988E-4</v>
      </c>
      <c r="AD245" s="36" t="s">
        <v>558</v>
      </c>
      <c r="AF245" s="36" t="s">
        <v>480</v>
      </c>
    </row>
    <row r="246" spans="1:32" s="36" customFormat="1" ht="15.75" x14ac:dyDescent="0.2">
      <c r="A246" s="36">
        <v>245</v>
      </c>
      <c r="B246" s="36">
        <v>14</v>
      </c>
      <c r="C246" s="36" t="s">
        <v>555</v>
      </c>
      <c r="D246" s="36" t="s">
        <v>508</v>
      </c>
      <c r="E246" s="36" t="s">
        <v>556</v>
      </c>
      <c r="F246" s="36" t="s">
        <v>557</v>
      </c>
      <c r="G246" s="36" t="s">
        <v>521</v>
      </c>
      <c r="H246" s="36" t="s">
        <v>167</v>
      </c>
      <c r="I246" s="36" t="s">
        <v>356</v>
      </c>
      <c r="J246" s="36">
        <v>14</v>
      </c>
      <c r="K246" s="36" t="s">
        <v>526</v>
      </c>
      <c r="L246" s="36">
        <v>3</v>
      </c>
      <c r="M246" s="36">
        <v>859.99851999999998</v>
      </c>
      <c r="O246" s="36">
        <v>19.318059999999946</v>
      </c>
      <c r="P246" s="36">
        <v>3</v>
      </c>
      <c r="Q246" s="36">
        <v>859.27409</v>
      </c>
      <c r="S246" s="36">
        <v>7.0027900000000045</v>
      </c>
      <c r="T246" s="36">
        <v>3</v>
      </c>
      <c r="U246" s="36" t="s">
        <v>560</v>
      </c>
      <c r="V246" s="36">
        <v>6000</v>
      </c>
      <c r="W246" s="36">
        <f t="shared" si="40"/>
        <v>6.0000000000000002E-6</v>
      </c>
      <c r="X246" s="36" t="str">
        <f t="shared" si="34"/>
        <v>Low</v>
      </c>
      <c r="Y246" s="36" t="s">
        <v>559</v>
      </c>
      <c r="Z246" s="36">
        <f t="shared" si="42"/>
        <v>8.4271690092532488E-4</v>
      </c>
      <c r="AA246" s="36">
        <f t="shared" si="32"/>
        <v>1.6819394565802096E-4</v>
      </c>
      <c r="AB246" s="36">
        <f t="shared" si="33"/>
        <v>2.2138975414101398E-5</v>
      </c>
      <c r="AC246" s="36">
        <f t="shared" si="35"/>
        <v>1.9033292107212236E-4</v>
      </c>
      <c r="AD246" s="36" t="s">
        <v>558</v>
      </c>
      <c r="AF246" s="36" t="s">
        <v>480</v>
      </c>
    </row>
    <row r="247" spans="1:32" s="36" customFormat="1" ht="15.75" x14ac:dyDescent="0.2">
      <c r="A247" s="36">
        <v>246</v>
      </c>
      <c r="B247" s="36">
        <v>14</v>
      </c>
      <c r="C247" s="36" t="s">
        <v>555</v>
      </c>
      <c r="D247" s="36" t="s">
        <v>508</v>
      </c>
      <c r="E247" s="36" t="s">
        <v>556</v>
      </c>
      <c r="F247" s="36" t="s">
        <v>557</v>
      </c>
      <c r="G247" s="36" t="s">
        <v>521</v>
      </c>
      <c r="H247" s="36" t="s">
        <v>167</v>
      </c>
      <c r="I247" s="36" t="s">
        <v>356</v>
      </c>
      <c r="J247" s="36">
        <v>14</v>
      </c>
      <c r="K247" s="36" t="s">
        <v>526</v>
      </c>
      <c r="L247" s="36">
        <v>3</v>
      </c>
      <c r="M247" s="36">
        <v>854.74856999999997</v>
      </c>
      <c r="O247" s="36">
        <v>16.834540000000061</v>
      </c>
      <c r="P247" s="36">
        <v>3</v>
      </c>
      <c r="Q247" s="36">
        <v>806.53111999999999</v>
      </c>
      <c r="S247" s="36">
        <v>12.054359999999974</v>
      </c>
      <c r="T247" s="36">
        <v>3</v>
      </c>
      <c r="U247" s="36" t="s">
        <v>560</v>
      </c>
      <c r="V247" s="36">
        <v>6000</v>
      </c>
      <c r="W247" s="36">
        <f t="shared" si="40"/>
        <v>6.0000000000000002E-6</v>
      </c>
      <c r="X247" s="36" t="str">
        <f t="shared" si="34"/>
        <v>Low</v>
      </c>
      <c r="Y247" s="36" t="s">
        <v>559</v>
      </c>
      <c r="Z247" s="36">
        <f t="shared" si="42"/>
        <v>5.8064872208573683E-2</v>
      </c>
      <c r="AA247" s="36">
        <f t="shared" si="32"/>
        <v>1.2930177516086311E-4</v>
      </c>
      <c r="AB247" s="36">
        <f t="shared" si="33"/>
        <v>7.4460303401264428E-5</v>
      </c>
      <c r="AC247" s="36">
        <f t="shared" si="35"/>
        <v>2.0376207856212753E-4</v>
      </c>
      <c r="AD247" s="36" t="s">
        <v>558</v>
      </c>
      <c r="AF247" s="36" t="s">
        <v>479</v>
      </c>
    </row>
    <row r="248" spans="1:32" s="36" customFormat="1" ht="15.75" x14ac:dyDescent="0.2">
      <c r="A248" s="36">
        <v>247</v>
      </c>
      <c r="B248" s="36">
        <v>14</v>
      </c>
      <c r="C248" s="36" t="s">
        <v>555</v>
      </c>
      <c r="D248" s="36" t="s">
        <v>508</v>
      </c>
      <c r="E248" s="36" t="s">
        <v>556</v>
      </c>
      <c r="F248" s="36" t="s">
        <v>557</v>
      </c>
      <c r="G248" s="36" t="s">
        <v>521</v>
      </c>
      <c r="H248" s="36" t="s">
        <v>167</v>
      </c>
      <c r="I248" s="36" t="s">
        <v>356</v>
      </c>
      <c r="J248" s="36">
        <v>14</v>
      </c>
      <c r="K248" s="36" t="s">
        <v>526</v>
      </c>
      <c r="L248" s="36">
        <v>3</v>
      </c>
      <c r="M248" s="36">
        <v>799.04909999999995</v>
      </c>
      <c r="O248" s="36">
        <v>28.888900000000035</v>
      </c>
      <c r="P248" s="36">
        <v>3</v>
      </c>
      <c r="Q248" s="36">
        <v>806.53111999999999</v>
      </c>
      <c r="S248" s="36">
        <v>12.054359999999974</v>
      </c>
      <c r="T248" s="36">
        <v>3</v>
      </c>
      <c r="U248" s="36" t="s">
        <v>560</v>
      </c>
      <c r="V248" s="36">
        <v>6000</v>
      </c>
      <c r="W248" s="36">
        <f t="shared" si="40"/>
        <v>6.0000000000000002E-6</v>
      </c>
      <c r="X248" s="36" t="str">
        <f t="shared" si="34"/>
        <v>Low</v>
      </c>
      <c r="Y248" s="36" t="s">
        <v>559</v>
      </c>
      <c r="Z248" s="36">
        <f t="shared" si="42"/>
        <v>-9.3200876126775349E-3</v>
      </c>
      <c r="AA248" s="36">
        <f t="shared" si="32"/>
        <v>4.3570628343887161E-4</v>
      </c>
      <c r="AB248" s="36">
        <f t="shared" si="33"/>
        <v>7.4460303401264428E-5</v>
      </c>
      <c r="AC248" s="36">
        <f t="shared" si="35"/>
        <v>5.10166586840136E-4</v>
      </c>
      <c r="AD248" s="36" t="s">
        <v>558</v>
      </c>
      <c r="AF248" s="36" t="s">
        <v>532</v>
      </c>
    </row>
    <row r="249" spans="1:32" s="37" customFormat="1" ht="15.75" x14ac:dyDescent="0.2">
      <c r="A249" s="37">
        <v>248</v>
      </c>
      <c r="B249" s="37">
        <v>15</v>
      </c>
      <c r="C249" s="37" t="s">
        <v>572</v>
      </c>
      <c r="D249" s="37" t="s">
        <v>562</v>
      </c>
      <c r="E249" s="37" t="s">
        <v>556</v>
      </c>
      <c r="F249" s="37" t="s">
        <v>557</v>
      </c>
      <c r="G249" s="37" t="s">
        <v>521</v>
      </c>
      <c r="H249" s="37" t="s">
        <v>524</v>
      </c>
      <c r="I249" s="37" t="s">
        <v>575</v>
      </c>
      <c r="J249" s="37">
        <v>15</v>
      </c>
      <c r="K249" s="37" t="s">
        <v>526</v>
      </c>
      <c r="L249" s="37">
        <v>3</v>
      </c>
      <c r="M249" s="37">
        <v>1.1539900000000001</v>
      </c>
      <c r="O249" s="37">
        <v>3.573000000000004E-2</v>
      </c>
      <c r="P249" s="37">
        <v>3</v>
      </c>
      <c r="Q249" s="37">
        <v>1.3240400000000001</v>
      </c>
      <c r="S249" s="37">
        <v>6.2869999999999981E-2</v>
      </c>
      <c r="T249" s="37">
        <v>3</v>
      </c>
      <c r="U249" s="37" t="s">
        <v>576</v>
      </c>
      <c r="V249" s="37">
        <v>0.1</v>
      </c>
      <c r="W249" s="37">
        <f>V249</f>
        <v>0.1</v>
      </c>
      <c r="X249" s="37" t="str">
        <f t="shared" si="34"/>
        <v>Low</v>
      </c>
      <c r="Y249" s="37" t="s">
        <v>565</v>
      </c>
      <c r="Z249" s="37">
        <f t="shared" si="42"/>
        <v>-0.13746216600172462</v>
      </c>
      <c r="AA249" s="37">
        <f t="shared" si="32"/>
        <v>3.1955137222479624E-4</v>
      </c>
      <c r="AB249" s="37">
        <f t="shared" si="33"/>
        <v>7.5155964881027174E-4</v>
      </c>
      <c r="AC249" s="37">
        <f t="shared" si="35"/>
        <v>1.071111021035068E-3</v>
      </c>
      <c r="AD249" s="37" t="s">
        <v>566</v>
      </c>
      <c r="AF249" s="37" t="s">
        <v>529</v>
      </c>
    </row>
    <row r="250" spans="1:32" s="37" customFormat="1" ht="15.75" x14ac:dyDescent="0.2">
      <c r="A250" s="37">
        <v>249</v>
      </c>
      <c r="B250" s="37">
        <v>15</v>
      </c>
      <c r="C250" s="37" t="s">
        <v>572</v>
      </c>
      <c r="D250" s="37" t="s">
        <v>562</v>
      </c>
      <c r="E250" s="37" t="s">
        <v>556</v>
      </c>
      <c r="F250" s="37" t="s">
        <v>557</v>
      </c>
      <c r="G250" s="37" t="s">
        <v>521</v>
      </c>
      <c r="H250" s="37" t="s">
        <v>524</v>
      </c>
      <c r="I250" s="37" t="s">
        <v>575</v>
      </c>
      <c r="J250" s="37">
        <v>15</v>
      </c>
      <c r="K250" s="37" t="s">
        <v>526</v>
      </c>
      <c r="L250" s="37">
        <v>3</v>
      </c>
      <c r="M250" s="37">
        <v>0.84604999999999997</v>
      </c>
      <c r="O250" s="37">
        <v>1.2149999999999994E-2</v>
      </c>
      <c r="P250" s="37">
        <v>3</v>
      </c>
      <c r="Q250" s="37">
        <v>1.3240400000000001</v>
      </c>
      <c r="S250" s="37">
        <v>6.2869999999999981E-2</v>
      </c>
      <c r="T250" s="37">
        <v>3</v>
      </c>
      <c r="U250" s="37" t="s">
        <v>574</v>
      </c>
      <c r="V250" s="37">
        <v>1</v>
      </c>
      <c r="W250" s="37">
        <f t="shared" ref="W250:W272" si="43">V250</f>
        <v>1</v>
      </c>
      <c r="X250" s="37" t="str">
        <f t="shared" si="34"/>
        <v>Low</v>
      </c>
      <c r="Y250" s="37" t="s">
        <v>565</v>
      </c>
      <c r="Z250" s="37">
        <f t="shared" si="42"/>
        <v>-0.447864488006323</v>
      </c>
      <c r="AA250" s="37">
        <f t="shared" si="32"/>
        <v>6.8744703242967648E-5</v>
      </c>
      <c r="AB250" s="37">
        <f t="shared" si="33"/>
        <v>7.5155964881027174E-4</v>
      </c>
      <c r="AC250" s="37">
        <f t="shared" si="35"/>
        <v>8.2030435205323942E-4</v>
      </c>
      <c r="AD250" s="37" t="s">
        <v>566</v>
      </c>
      <c r="AF250" s="37" t="s">
        <v>577</v>
      </c>
    </row>
    <row r="251" spans="1:32" s="37" customFormat="1" ht="15.75" x14ac:dyDescent="0.2">
      <c r="A251" s="37">
        <v>250</v>
      </c>
      <c r="B251" s="37">
        <v>15</v>
      </c>
      <c r="C251" s="37" t="s">
        <v>572</v>
      </c>
      <c r="D251" s="37" t="s">
        <v>562</v>
      </c>
      <c r="E251" s="37" t="s">
        <v>556</v>
      </c>
      <c r="F251" s="37" t="s">
        <v>557</v>
      </c>
      <c r="G251" s="37" t="s">
        <v>521</v>
      </c>
      <c r="H251" s="37" t="s">
        <v>524</v>
      </c>
      <c r="I251" s="37" t="s">
        <v>575</v>
      </c>
      <c r="J251" s="37">
        <v>15</v>
      </c>
      <c r="K251" s="37" t="s">
        <v>526</v>
      </c>
      <c r="L251" s="37">
        <v>3</v>
      </c>
      <c r="M251" s="37">
        <v>0.85819999999999996</v>
      </c>
      <c r="O251" s="37">
        <v>1.214000000000004E-2</v>
      </c>
      <c r="P251" s="37">
        <v>3</v>
      </c>
      <c r="Q251" s="37">
        <v>1.3240400000000001</v>
      </c>
      <c r="S251" s="37">
        <v>6.2869999999999981E-2</v>
      </c>
      <c r="T251" s="37">
        <v>3</v>
      </c>
      <c r="U251" s="37" t="s">
        <v>576</v>
      </c>
      <c r="V251" s="37">
        <v>0.1</v>
      </c>
      <c r="W251" s="37">
        <f t="shared" si="43"/>
        <v>0.1</v>
      </c>
      <c r="X251" s="37" t="str">
        <f t="shared" si="34"/>
        <v>Low</v>
      </c>
      <c r="Y251" s="37" t="s">
        <v>565</v>
      </c>
      <c r="Z251" s="37">
        <f t="shared" si="42"/>
        <v>-0.4336057749635342</v>
      </c>
      <c r="AA251" s="37">
        <f t="shared" si="32"/>
        <v>6.670203721735806E-5</v>
      </c>
      <c r="AB251" s="37">
        <f t="shared" si="33"/>
        <v>7.5155964881027174E-4</v>
      </c>
      <c r="AC251" s="37">
        <f t="shared" si="35"/>
        <v>8.1826168602762981E-4</v>
      </c>
      <c r="AD251" s="37" t="s">
        <v>566</v>
      </c>
      <c r="AF251" s="37" t="s">
        <v>577</v>
      </c>
    </row>
    <row r="252" spans="1:32" s="37" customFormat="1" ht="15.75" x14ac:dyDescent="0.2">
      <c r="A252" s="37">
        <v>251</v>
      </c>
      <c r="B252" s="37">
        <v>15</v>
      </c>
      <c r="C252" s="37" t="s">
        <v>572</v>
      </c>
      <c r="D252" s="37" t="s">
        <v>562</v>
      </c>
      <c r="E252" s="37" t="s">
        <v>556</v>
      </c>
      <c r="F252" s="37" t="s">
        <v>557</v>
      </c>
      <c r="G252" s="37" t="s">
        <v>521</v>
      </c>
      <c r="H252" s="37" t="s">
        <v>524</v>
      </c>
      <c r="I252" s="37" t="s">
        <v>575</v>
      </c>
      <c r="J252" s="37">
        <v>15</v>
      </c>
      <c r="K252" s="37" t="s">
        <v>526</v>
      </c>
      <c r="L252" s="37">
        <v>3</v>
      </c>
      <c r="M252" s="37">
        <v>0.65671000000000002</v>
      </c>
      <c r="O252" s="37">
        <v>2.3579999999999934E-2</v>
      </c>
      <c r="P252" s="37">
        <v>3</v>
      </c>
      <c r="Q252" s="37">
        <v>1.3240400000000001</v>
      </c>
      <c r="S252" s="37">
        <v>6.2869999999999981E-2</v>
      </c>
      <c r="T252" s="37">
        <v>3</v>
      </c>
      <c r="U252" s="37" t="s">
        <v>574</v>
      </c>
      <c r="V252" s="37">
        <v>1</v>
      </c>
      <c r="W252" s="37">
        <f t="shared" si="43"/>
        <v>1</v>
      </c>
      <c r="X252" s="37" t="str">
        <f t="shared" si="34"/>
        <v>Low</v>
      </c>
      <c r="Y252" s="37" t="s">
        <v>565</v>
      </c>
      <c r="Z252" s="37">
        <f t="shared" si="42"/>
        <v>-0.70120042678655259</v>
      </c>
      <c r="AA252" s="37">
        <f t="shared" si="32"/>
        <v>4.297531688948579E-4</v>
      </c>
      <c r="AB252" s="37">
        <f t="shared" si="33"/>
        <v>7.5155964881027174E-4</v>
      </c>
      <c r="AC252" s="37">
        <f t="shared" si="35"/>
        <v>1.1813128177051296E-3</v>
      </c>
      <c r="AD252" s="37" t="s">
        <v>566</v>
      </c>
      <c r="AF252" s="37" t="s">
        <v>577</v>
      </c>
    </row>
    <row r="253" spans="1:32" s="37" customFormat="1" ht="15.75" x14ac:dyDescent="0.2">
      <c r="A253" s="37">
        <v>252</v>
      </c>
      <c r="B253" s="37">
        <v>15</v>
      </c>
      <c r="C253" s="37" t="s">
        <v>572</v>
      </c>
      <c r="D253" s="37" t="s">
        <v>562</v>
      </c>
      <c r="E253" s="37" t="s">
        <v>556</v>
      </c>
      <c r="F253" s="37" t="s">
        <v>557</v>
      </c>
      <c r="G253" s="37" t="s">
        <v>521</v>
      </c>
      <c r="H253" s="37" t="s">
        <v>524</v>
      </c>
      <c r="I253" s="37" t="s">
        <v>575</v>
      </c>
      <c r="J253" s="37">
        <v>15</v>
      </c>
      <c r="K253" s="37" t="s">
        <v>526</v>
      </c>
      <c r="L253" s="37">
        <v>3</v>
      </c>
      <c r="M253" s="37">
        <v>3.5343599999999999</v>
      </c>
      <c r="O253" s="37">
        <v>4.8579999999999846E-2</v>
      </c>
      <c r="P253" s="37">
        <v>3</v>
      </c>
      <c r="Q253" s="37">
        <v>3.6929699999999999</v>
      </c>
      <c r="S253" s="37">
        <v>0.16576000000000013</v>
      </c>
      <c r="T253" s="37">
        <v>3</v>
      </c>
      <c r="U253" s="37" t="s">
        <v>576</v>
      </c>
      <c r="V253" s="37">
        <v>0.1</v>
      </c>
      <c r="W253" s="37">
        <f t="shared" si="43"/>
        <v>0.1</v>
      </c>
      <c r="X253" s="37" t="str">
        <f t="shared" si="34"/>
        <v>Low</v>
      </c>
      <c r="Y253" s="37" t="s">
        <v>565</v>
      </c>
      <c r="Z253" s="37">
        <f t="shared" ref="Z253:Z264" si="44">(LN(M253/Q253))*-1</f>
        <v>4.3898776079070369E-2</v>
      </c>
      <c r="AA253" s="37">
        <f t="shared" si="32"/>
        <v>6.2975583382839215E-5</v>
      </c>
      <c r="AB253" s="37">
        <f t="shared" si="33"/>
        <v>6.715628478131438E-4</v>
      </c>
      <c r="AC253" s="37">
        <f t="shared" si="35"/>
        <v>7.3453843119598307E-4</v>
      </c>
      <c r="AD253" s="37" t="s">
        <v>566</v>
      </c>
      <c r="AF253" s="37" t="s">
        <v>578</v>
      </c>
    </row>
    <row r="254" spans="1:32" s="37" customFormat="1" ht="15.75" x14ac:dyDescent="0.2">
      <c r="A254" s="37">
        <v>253</v>
      </c>
      <c r="B254" s="37">
        <v>15</v>
      </c>
      <c r="C254" s="37" t="s">
        <v>572</v>
      </c>
      <c r="D254" s="37" t="s">
        <v>562</v>
      </c>
      <c r="E254" s="37" t="s">
        <v>556</v>
      </c>
      <c r="F254" s="37" t="s">
        <v>557</v>
      </c>
      <c r="G254" s="37" t="s">
        <v>521</v>
      </c>
      <c r="H254" s="37" t="s">
        <v>524</v>
      </c>
      <c r="I254" s="37" t="s">
        <v>575</v>
      </c>
      <c r="J254" s="37">
        <v>15</v>
      </c>
      <c r="K254" s="37" t="s">
        <v>526</v>
      </c>
      <c r="L254" s="37">
        <v>3</v>
      </c>
      <c r="M254" s="37">
        <v>3.9930500000000002</v>
      </c>
      <c r="O254" s="37">
        <v>6.2879999999999825E-2</v>
      </c>
      <c r="P254" s="37">
        <v>3</v>
      </c>
      <c r="Q254" s="37">
        <v>3.6929699999999999</v>
      </c>
      <c r="S254" s="37">
        <v>0.16576000000000013</v>
      </c>
      <c r="T254" s="37">
        <v>3</v>
      </c>
      <c r="U254" s="37" t="s">
        <v>574</v>
      </c>
      <c r="V254" s="37">
        <v>1</v>
      </c>
      <c r="W254" s="37">
        <f t="shared" si="43"/>
        <v>1</v>
      </c>
      <c r="X254" s="37" t="str">
        <f t="shared" si="34"/>
        <v>Low</v>
      </c>
      <c r="Y254" s="37" t="s">
        <v>565</v>
      </c>
      <c r="Z254" s="37">
        <f t="shared" si="44"/>
        <v>-7.8124337555451853E-2</v>
      </c>
      <c r="AA254" s="37">
        <f t="shared" si="32"/>
        <v>8.2659793239339796E-5</v>
      </c>
      <c r="AB254" s="37">
        <f t="shared" si="33"/>
        <v>6.715628478131438E-4</v>
      </c>
      <c r="AC254" s="37">
        <f t="shared" si="35"/>
        <v>7.5422264105248359E-4</v>
      </c>
      <c r="AD254" s="37" t="s">
        <v>566</v>
      </c>
      <c r="AF254" s="37" t="s">
        <v>578</v>
      </c>
    </row>
    <row r="255" spans="1:32" s="37" customFormat="1" ht="15.75" x14ac:dyDescent="0.2">
      <c r="A255" s="37">
        <v>254</v>
      </c>
      <c r="B255" s="37">
        <v>15</v>
      </c>
      <c r="C255" s="37" t="s">
        <v>572</v>
      </c>
      <c r="D255" s="37" t="s">
        <v>562</v>
      </c>
      <c r="E255" s="37" t="s">
        <v>556</v>
      </c>
      <c r="F255" s="37" t="s">
        <v>557</v>
      </c>
      <c r="G255" s="37" t="s">
        <v>521</v>
      </c>
      <c r="H255" s="37" t="s">
        <v>524</v>
      </c>
      <c r="I255" s="37" t="s">
        <v>575</v>
      </c>
      <c r="J255" s="37">
        <v>15</v>
      </c>
      <c r="K255" s="37" t="s">
        <v>526</v>
      </c>
      <c r="L255" s="37">
        <v>3</v>
      </c>
      <c r="M255" s="37">
        <v>3.8744499999999999</v>
      </c>
      <c r="O255" s="37">
        <v>8.716999999999997E-2</v>
      </c>
      <c r="P255" s="37">
        <v>3</v>
      </c>
      <c r="Q255" s="37">
        <v>3.6929699999999999</v>
      </c>
      <c r="S255" s="37">
        <v>0.16576000000000013</v>
      </c>
      <c r="T255" s="37">
        <v>3</v>
      </c>
      <c r="U255" s="37" t="s">
        <v>576</v>
      </c>
      <c r="V255" s="37">
        <v>0.1</v>
      </c>
      <c r="W255" s="37">
        <f t="shared" si="43"/>
        <v>0.1</v>
      </c>
      <c r="X255" s="37" t="str">
        <f t="shared" si="34"/>
        <v>Low</v>
      </c>
      <c r="Y255" s="37" t="s">
        <v>565</v>
      </c>
      <c r="Z255" s="37">
        <f t="shared" si="44"/>
        <v>-4.7972704887062942E-2</v>
      </c>
      <c r="AA255" s="37">
        <f t="shared" si="32"/>
        <v>1.6873015905734465E-4</v>
      </c>
      <c r="AB255" s="37">
        <f t="shared" si="33"/>
        <v>6.715628478131438E-4</v>
      </c>
      <c r="AC255" s="37">
        <f t="shared" si="35"/>
        <v>8.4029300687048843E-4</v>
      </c>
      <c r="AD255" s="37" t="s">
        <v>566</v>
      </c>
      <c r="AF255" s="37" t="s">
        <v>578</v>
      </c>
    </row>
    <row r="256" spans="1:32" s="37" customFormat="1" ht="15.75" x14ac:dyDescent="0.2">
      <c r="A256" s="37">
        <v>255</v>
      </c>
      <c r="B256" s="37">
        <v>15</v>
      </c>
      <c r="C256" s="37" t="s">
        <v>572</v>
      </c>
      <c r="D256" s="37" t="s">
        <v>562</v>
      </c>
      <c r="E256" s="37" t="s">
        <v>556</v>
      </c>
      <c r="F256" s="37" t="s">
        <v>557</v>
      </c>
      <c r="G256" s="37" t="s">
        <v>521</v>
      </c>
      <c r="H256" s="37" t="s">
        <v>524</v>
      </c>
      <c r="I256" s="37" t="s">
        <v>575</v>
      </c>
      <c r="J256" s="37">
        <v>15</v>
      </c>
      <c r="K256" s="37" t="s">
        <v>526</v>
      </c>
      <c r="L256" s="37">
        <v>3</v>
      </c>
      <c r="M256" s="37">
        <v>4.41174</v>
      </c>
      <c r="O256" s="37">
        <v>9.4310000000000116E-2</v>
      </c>
      <c r="P256" s="37">
        <v>3</v>
      </c>
      <c r="Q256" s="37">
        <v>3.6929699999999999</v>
      </c>
      <c r="S256" s="37">
        <v>0.16576000000000013</v>
      </c>
      <c r="T256" s="37">
        <v>3</v>
      </c>
      <c r="U256" s="37" t="s">
        <v>574</v>
      </c>
      <c r="V256" s="37">
        <v>1</v>
      </c>
      <c r="W256" s="37">
        <f t="shared" si="43"/>
        <v>1</v>
      </c>
      <c r="X256" s="37" t="str">
        <f t="shared" si="34"/>
        <v>Low</v>
      </c>
      <c r="Y256" s="37" t="s">
        <v>565</v>
      </c>
      <c r="Z256" s="37">
        <f t="shared" si="44"/>
        <v>-0.17783815710383194</v>
      </c>
      <c r="AA256" s="37">
        <f t="shared" si="32"/>
        <v>1.5232613229383102E-4</v>
      </c>
      <c r="AB256" s="37">
        <f t="shared" si="33"/>
        <v>6.715628478131438E-4</v>
      </c>
      <c r="AC256" s="37">
        <f t="shared" si="35"/>
        <v>8.238889801069748E-4</v>
      </c>
      <c r="AD256" s="37" t="s">
        <v>566</v>
      </c>
      <c r="AF256" s="37" t="s">
        <v>578</v>
      </c>
    </row>
    <row r="257" spans="1:32" s="37" customFormat="1" ht="15.75" x14ac:dyDescent="0.2">
      <c r="A257" s="37">
        <v>256</v>
      </c>
      <c r="B257" s="37">
        <v>15</v>
      </c>
      <c r="C257" s="37" t="s">
        <v>572</v>
      </c>
      <c r="D257" s="37" t="s">
        <v>562</v>
      </c>
      <c r="E257" s="37" t="s">
        <v>556</v>
      </c>
      <c r="F257" s="37" t="s">
        <v>557</v>
      </c>
      <c r="G257" s="37" t="s">
        <v>521</v>
      </c>
      <c r="H257" s="37" t="s">
        <v>524</v>
      </c>
      <c r="I257" s="37" t="s">
        <v>575</v>
      </c>
      <c r="J257" s="37">
        <v>15</v>
      </c>
      <c r="K257" s="37" t="s">
        <v>526</v>
      </c>
      <c r="L257" s="37">
        <v>3</v>
      </c>
      <c r="M257" s="37">
        <v>10.324999999999999</v>
      </c>
      <c r="O257" s="37">
        <v>0.97602999999999973</v>
      </c>
      <c r="P257" s="37">
        <v>3</v>
      </c>
      <c r="Q257" s="37">
        <v>18.054600000000001</v>
      </c>
      <c r="S257" s="37">
        <v>0.59740000000000038</v>
      </c>
      <c r="T257" s="37">
        <v>3</v>
      </c>
      <c r="U257" s="37" t="s">
        <v>576</v>
      </c>
      <c r="V257" s="37">
        <v>0.1</v>
      </c>
      <c r="W257" s="37">
        <f t="shared" si="43"/>
        <v>0.1</v>
      </c>
      <c r="X257" s="37" t="str">
        <f t="shared" si="34"/>
        <v>Low</v>
      </c>
      <c r="Y257" s="37" t="s">
        <v>565</v>
      </c>
      <c r="Z257" s="37">
        <f t="shared" si="44"/>
        <v>0.55883236110907797</v>
      </c>
      <c r="AA257" s="37">
        <f t="shared" si="32"/>
        <v>2.9786876033355007E-3</v>
      </c>
      <c r="AB257" s="37">
        <f t="shared" si="33"/>
        <v>3.6495006024811163E-4</v>
      </c>
      <c r="AC257" s="37">
        <f t="shared" si="35"/>
        <v>3.3436376635836125E-3</v>
      </c>
      <c r="AD257" s="37" t="s">
        <v>566</v>
      </c>
      <c r="AF257" s="37" t="s">
        <v>579</v>
      </c>
    </row>
    <row r="258" spans="1:32" s="37" customFormat="1" ht="15.75" x14ac:dyDescent="0.2">
      <c r="A258" s="37">
        <v>257</v>
      </c>
      <c r="B258" s="37">
        <v>15</v>
      </c>
      <c r="C258" s="37" t="s">
        <v>572</v>
      </c>
      <c r="D258" s="37" t="s">
        <v>562</v>
      </c>
      <c r="E258" s="37" t="s">
        <v>556</v>
      </c>
      <c r="F258" s="37" t="s">
        <v>557</v>
      </c>
      <c r="G258" s="37" t="s">
        <v>521</v>
      </c>
      <c r="H258" s="37" t="s">
        <v>524</v>
      </c>
      <c r="I258" s="37" t="s">
        <v>575</v>
      </c>
      <c r="J258" s="37">
        <v>15</v>
      </c>
      <c r="K258" s="37" t="s">
        <v>526</v>
      </c>
      <c r="L258" s="37">
        <v>3</v>
      </c>
      <c r="M258" s="37">
        <v>10.025399999999999</v>
      </c>
      <c r="O258" s="37">
        <v>0.42070000000000007</v>
      </c>
      <c r="P258" s="37">
        <v>3</v>
      </c>
      <c r="Q258" s="37">
        <v>18.054600000000001</v>
      </c>
      <c r="S258" s="37">
        <v>0.59740000000000038</v>
      </c>
      <c r="T258" s="37">
        <v>3</v>
      </c>
      <c r="U258" s="37" t="s">
        <v>574</v>
      </c>
      <c r="V258" s="37">
        <v>1</v>
      </c>
      <c r="W258" s="37">
        <f t="shared" si="43"/>
        <v>1</v>
      </c>
      <c r="X258" s="37" t="str">
        <f t="shared" si="34"/>
        <v>Low</v>
      </c>
      <c r="Y258" s="37" t="s">
        <v>565</v>
      </c>
      <c r="Z258" s="37">
        <f t="shared" si="44"/>
        <v>0.58827862731015879</v>
      </c>
      <c r="AA258" s="37">
        <f t="shared" ref="AA258:AA312" si="45">(O258^2)/(L258*M258^2)</f>
        <v>5.8697600827687215E-4</v>
      </c>
      <c r="AB258" s="37">
        <f t="shared" ref="AB258:AB312" si="46">(S258^2)/(P258*Q258^2)</f>
        <v>3.6495006024811163E-4</v>
      </c>
      <c r="AC258" s="37">
        <f t="shared" si="35"/>
        <v>9.5192606852498372E-4</v>
      </c>
      <c r="AD258" s="37" t="s">
        <v>566</v>
      </c>
      <c r="AF258" s="37" t="s">
        <v>579</v>
      </c>
    </row>
    <row r="259" spans="1:32" s="37" customFormat="1" ht="15.75" x14ac:dyDescent="0.2">
      <c r="A259" s="37">
        <v>258</v>
      </c>
      <c r="B259" s="37">
        <v>15</v>
      </c>
      <c r="C259" s="37" t="s">
        <v>572</v>
      </c>
      <c r="D259" s="37" t="s">
        <v>562</v>
      </c>
      <c r="E259" s="37" t="s">
        <v>556</v>
      </c>
      <c r="F259" s="37" t="s">
        <v>557</v>
      </c>
      <c r="G259" s="37" t="s">
        <v>521</v>
      </c>
      <c r="H259" s="37" t="s">
        <v>524</v>
      </c>
      <c r="I259" s="37" t="s">
        <v>575</v>
      </c>
      <c r="J259" s="37">
        <v>15</v>
      </c>
      <c r="K259" s="37" t="s">
        <v>526</v>
      </c>
      <c r="L259" s="37">
        <v>3</v>
      </c>
      <c r="M259" s="37">
        <v>9.0354100000000006</v>
      </c>
      <c r="O259" s="37">
        <v>0.47119</v>
      </c>
      <c r="P259" s="37">
        <v>3</v>
      </c>
      <c r="Q259" s="37">
        <v>18.054600000000001</v>
      </c>
      <c r="S259" s="37">
        <v>0.59740000000000038</v>
      </c>
      <c r="T259" s="37">
        <v>3</v>
      </c>
      <c r="U259" s="37" t="s">
        <v>576</v>
      </c>
      <c r="V259" s="37">
        <v>0.1</v>
      </c>
      <c r="W259" s="37">
        <f t="shared" si="43"/>
        <v>0.1</v>
      </c>
      <c r="X259" s="37" t="str">
        <f t="shared" ref="X259:X312" si="47">IF(W259&lt;=1, "Low", IF(W259&lt;10, "Medium", "High"))</f>
        <v>Low</v>
      </c>
      <c r="Y259" s="37" t="s">
        <v>565</v>
      </c>
      <c r="Z259" s="37">
        <f t="shared" si="44"/>
        <v>0.69224919786023142</v>
      </c>
      <c r="AA259" s="37">
        <f t="shared" si="45"/>
        <v>9.0651531666860919E-4</v>
      </c>
      <c r="AB259" s="37">
        <f t="shared" si="46"/>
        <v>3.6495006024811163E-4</v>
      </c>
      <c r="AC259" s="37">
        <f t="shared" ref="AC259:AC312" si="48">SUM(AA259,AB259)</f>
        <v>1.2714653769167208E-3</v>
      </c>
      <c r="AD259" s="37" t="s">
        <v>566</v>
      </c>
      <c r="AF259" s="37" t="s">
        <v>579</v>
      </c>
    </row>
    <row r="260" spans="1:32" s="37" customFormat="1" ht="15.75" x14ac:dyDescent="0.2">
      <c r="A260" s="37">
        <v>259</v>
      </c>
      <c r="B260" s="37">
        <v>15</v>
      </c>
      <c r="C260" s="37" t="s">
        <v>572</v>
      </c>
      <c r="D260" s="37" t="s">
        <v>562</v>
      </c>
      <c r="E260" s="37" t="s">
        <v>556</v>
      </c>
      <c r="F260" s="37" t="s">
        <v>557</v>
      </c>
      <c r="G260" s="37" t="s">
        <v>521</v>
      </c>
      <c r="H260" s="37" t="s">
        <v>524</v>
      </c>
      <c r="I260" s="37" t="s">
        <v>575</v>
      </c>
      <c r="J260" s="37">
        <v>15</v>
      </c>
      <c r="K260" s="37" t="s">
        <v>526</v>
      </c>
      <c r="L260" s="37">
        <v>3</v>
      </c>
      <c r="M260" s="37">
        <v>8.9420999999999999</v>
      </c>
      <c r="O260" s="37">
        <v>0.13463000000000047</v>
      </c>
      <c r="P260" s="37">
        <v>3</v>
      </c>
      <c r="Q260" s="37">
        <v>18.054600000000001</v>
      </c>
      <c r="S260" s="37">
        <v>0.59740000000000038</v>
      </c>
      <c r="T260" s="37">
        <v>3</v>
      </c>
      <c r="U260" s="37" t="s">
        <v>574</v>
      </c>
      <c r="V260" s="37">
        <v>1</v>
      </c>
      <c r="W260" s="37">
        <f t="shared" si="43"/>
        <v>1</v>
      </c>
      <c r="X260" s="37" t="str">
        <f t="shared" si="47"/>
        <v>Low</v>
      </c>
      <c r="Y260" s="37" t="s">
        <v>565</v>
      </c>
      <c r="Z260" s="37">
        <f t="shared" si="44"/>
        <v>0.70263003902642018</v>
      </c>
      <c r="AA260" s="37">
        <f t="shared" si="45"/>
        <v>7.5558511242489177E-5</v>
      </c>
      <c r="AB260" s="37">
        <f t="shared" si="46"/>
        <v>3.6495006024811163E-4</v>
      </c>
      <c r="AC260" s="37">
        <f t="shared" si="48"/>
        <v>4.4050857149060082E-4</v>
      </c>
      <c r="AD260" s="37" t="s">
        <v>566</v>
      </c>
      <c r="AF260" s="37" t="s">
        <v>579</v>
      </c>
    </row>
    <row r="261" spans="1:32" s="37" customFormat="1" ht="15.75" x14ac:dyDescent="0.2">
      <c r="A261" s="37">
        <v>260</v>
      </c>
      <c r="B261" s="37">
        <v>15</v>
      </c>
      <c r="C261" s="37" t="s">
        <v>572</v>
      </c>
      <c r="D261" s="37" t="s">
        <v>562</v>
      </c>
      <c r="E261" s="37" t="s">
        <v>556</v>
      </c>
      <c r="F261" s="37" t="s">
        <v>557</v>
      </c>
      <c r="G261" s="37" t="s">
        <v>521</v>
      </c>
      <c r="H261" s="37" t="s">
        <v>524</v>
      </c>
      <c r="I261" s="37" t="s">
        <v>575</v>
      </c>
      <c r="J261" s="37">
        <v>15</v>
      </c>
      <c r="K261" s="37" t="s">
        <v>526</v>
      </c>
      <c r="L261" s="37">
        <v>3</v>
      </c>
      <c r="M261" s="37">
        <v>4.2149999999999999</v>
      </c>
      <c r="O261" s="37">
        <v>3.1970000000000054E-2</v>
      </c>
      <c r="P261" s="37">
        <v>3</v>
      </c>
      <c r="Q261" s="37">
        <v>1.7534400000000001</v>
      </c>
      <c r="S261" s="37">
        <v>2.7759999999999785E-2</v>
      </c>
      <c r="T261" s="37">
        <v>3</v>
      </c>
      <c r="U261" s="37" t="s">
        <v>576</v>
      </c>
      <c r="V261" s="37">
        <v>0.1</v>
      </c>
      <c r="W261" s="37">
        <f t="shared" si="43"/>
        <v>0.1</v>
      </c>
      <c r="X261" s="37" t="str">
        <f t="shared" si="47"/>
        <v>Low</v>
      </c>
      <c r="Y261" s="37" t="s">
        <v>565</v>
      </c>
      <c r="Z261" s="37">
        <f t="shared" si="44"/>
        <v>-0.87707001872087376</v>
      </c>
      <c r="AA261" s="37">
        <f t="shared" si="45"/>
        <v>1.9176478589758628E-5</v>
      </c>
      <c r="AB261" s="37">
        <f t="shared" si="46"/>
        <v>8.354795990951199E-5</v>
      </c>
      <c r="AC261" s="37">
        <f t="shared" si="48"/>
        <v>1.0272443849927061E-4</v>
      </c>
      <c r="AD261" s="37" t="s">
        <v>566</v>
      </c>
      <c r="AF261" s="37" t="s">
        <v>580</v>
      </c>
    </row>
    <row r="262" spans="1:32" s="37" customFormat="1" ht="15.75" x14ac:dyDescent="0.2">
      <c r="A262" s="37">
        <v>261</v>
      </c>
      <c r="B262" s="37">
        <v>15</v>
      </c>
      <c r="C262" s="37" t="s">
        <v>572</v>
      </c>
      <c r="D262" s="37" t="s">
        <v>562</v>
      </c>
      <c r="E262" s="37" t="s">
        <v>556</v>
      </c>
      <c r="F262" s="37" t="s">
        <v>557</v>
      </c>
      <c r="G262" s="37" t="s">
        <v>521</v>
      </c>
      <c r="H262" s="37" t="s">
        <v>524</v>
      </c>
      <c r="I262" s="37" t="s">
        <v>575</v>
      </c>
      <c r="J262" s="37">
        <v>15</v>
      </c>
      <c r="K262" s="37" t="s">
        <v>526</v>
      </c>
      <c r="L262" s="37">
        <v>3</v>
      </c>
      <c r="M262" s="37">
        <v>3.1419999999999999</v>
      </c>
      <c r="O262" s="37">
        <v>3.2819999999999849E-2</v>
      </c>
      <c r="P262" s="37">
        <v>3</v>
      </c>
      <c r="Q262" s="37">
        <v>1.7534400000000001</v>
      </c>
      <c r="S262" s="37">
        <v>2.7759999999999785E-2</v>
      </c>
      <c r="T262" s="37">
        <v>3</v>
      </c>
      <c r="U262" s="37" t="s">
        <v>574</v>
      </c>
      <c r="V262" s="37">
        <v>1</v>
      </c>
      <c r="W262" s="37">
        <f t="shared" si="43"/>
        <v>1</v>
      </c>
      <c r="X262" s="37" t="str">
        <f t="shared" si="47"/>
        <v>Low</v>
      </c>
      <c r="Y262" s="37" t="s">
        <v>565</v>
      </c>
      <c r="Z262" s="37">
        <f t="shared" si="44"/>
        <v>-0.58327996710048435</v>
      </c>
      <c r="AA262" s="37">
        <f t="shared" si="45"/>
        <v>3.6370019784922194E-5</v>
      </c>
      <c r="AB262" s="37">
        <f t="shared" si="46"/>
        <v>8.354795990951199E-5</v>
      </c>
      <c r="AC262" s="37">
        <f t="shared" si="48"/>
        <v>1.1991797969443418E-4</v>
      </c>
      <c r="AD262" s="37" t="s">
        <v>566</v>
      </c>
      <c r="AF262" s="37" t="s">
        <v>580</v>
      </c>
    </row>
    <row r="263" spans="1:32" s="37" customFormat="1" ht="15.75" x14ac:dyDescent="0.2">
      <c r="A263" s="37">
        <v>262</v>
      </c>
      <c r="B263" s="37">
        <v>15</v>
      </c>
      <c r="C263" s="37" t="s">
        <v>572</v>
      </c>
      <c r="D263" s="37" t="s">
        <v>562</v>
      </c>
      <c r="E263" s="37" t="s">
        <v>556</v>
      </c>
      <c r="F263" s="37" t="s">
        <v>557</v>
      </c>
      <c r="G263" s="37" t="s">
        <v>521</v>
      </c>
      <c r="H263" s="37" t="s">
        <v>524</v>
      </c>
      <c r="I263" s="37" t="s">
        <v>575</v>
      </c>
      <c r="J263" s="37">
        <v>15</v>
      </c>
      <c r="K263" s="37" t="s">
        <v>526</v>
      </c>
      <c r="L263" s="37">
        <v>3</v>
      </c>
      <c r="M263" s="37">
        <v>2.1423000000000001</v>
      </c>
      <c r="O263" s="37">
        <v>6.9840000000000013E-2</v>
      </c>
      <c r="P263" s="37">
        <v>3</v>
      </c>
      <c r="Q263" s="37">
        <v>1.7534400000000001</v>
      </c>
      <c r="S263" s="37">
        <v>2.7759999999999785E-2</v>
      </c>
      <c r="T263" s="37">
        <v>3</v>
      </c>
      <c r="U263" s="37" t="s">
        <v>576</v>
      </c>
      <c r="V263" s="37">
        <v>0.1</v>
      </c>
      <c r="W263" s="37">
        <f t="shared" si="43"/>
        <v>0.1</v>
      </c>
      <c r="X263" s="37" t="str">
        <f t="shared" si="47"/>
        <v>Low</v>
      </c>
      <c r="Y263" s="37" t="s">
        <v>565</v>
      </c>
      <c r="Z263" s="37">
        <f t="shared" si="44"/>
        <v>-0.20030044550809187</v>
      </c>
      <c r="AA263" s="37">
        <f t="shared" si="45"/>
        <v>3.5426368116598164E-4</v>
      </c>
      <c r="AB263" s="37">
        <f t="shared" si="46"/>
        <v>8.354795990951199E-5</v>
      </c>
      <c r="AC263" s="37">
        <f t="shared" si="48"/>
        <v>4.3781164107549366E-4</v>
      </c>
      <c r="AD263" s="37" t="s">
        <v>566</v>
      </c>
      <c r="AF263" s="37" t="s">
        <v>580</v>
      </c>
    </row>
    <row r="264" spans="1:32" s="37" customFormat="1" ht="15.75" x14ac:dyDescent="0.2">
      <c r="A264" s="37">
        <v>263</v>
      </c>
      <c r="B264" s="37">
        <v>15</v>
      </c>
      <c r="C264" s="37" t="s">
        <v>572</v>
      </c>
      <c r="D264" s="37" t="s">
        <v>562</v>
      </c>
      <c r="E264" s="37" t="s">
        <v>556</v>
      </c>
      <c r="F264" s="37" t="s">
        <v>557</v>
      </c>
      <c r="G264" s="37" t="s">
        <v>521</v>
      </c>
      <c r="H264" s="37" t="s">
        <v>524</v>
      </c>
      <c r="I264" s="37" t="s">
        <v>575</v>
      </c>
      <c r="J264" s="37">
        <v>15</v>
      </c>
      <c r="K264" s="37" t="s">
        <v>526</v>
      </c>
      <c r="L264" s="37">
        <v>3</v>
      </c>
      <c r="M264" s="37">
        <v>3.2149999999999999</v>
      </c>
      <c r="O264" s="37">
        <v>2.7760000000000007E-2</v>
      </c>
      <c r="P264" s="37">
        <v>3</v>
      </c>
      <c r="Q264" s="37">
        <v>1.7534400000000001</v>
      </c>
      <c r="S264" s="37">
        <v>2.7759999999999785E-2</v>
      </c>
      <c r="T264" s="37">
        <v>3</v>
      </c>
      <c r="U264" s="37" t="s">
        <v>574</v>
      </c>
      <c r="V264" s="37">
        <v>1</v>
      </c>
      <c r="W264" s="37">
        <f t="shared" si="43"/>
        <v>1</v>
      </c>
      <c r="X264" s="37" t="str">
        <f t="shared" si="47"/>
        <v>Low</v>
      </c>
      <c r="Y264" s="37" t="s">
        <v>565</v>
      </c>
      <c r="Z264" s="37">
        <f t="shared" si="44"/>
        <v>-0.60624778495663756</v>
      </c>
      <c r="AA264" s="37">
        <f t="shared" si="45"/>
        <v>2.4851677796616606E-5</v>
      </c>
      <c r="AB264" s="37">
        <f t="shared" si="46"/>
        <v>8.354795990951199E-5</v>
      </c>
      <c r="AC264" s="37">
        <f t="shared" si="48"/>
        <v>1.0839963770612859E-4</v>
      </c>
      <c r="AD264" s="37" t="s">
        <v>566</v>
      </c>
      <c r="AF264" s="37" t="s">
        <v>580</v>
      </c>
    </row>
    <row r="265" spans="1:32" s="37" customFormat="1" ht="15.75" x14ac:dyDescent="0.2">
      <c r="A265" s="37">
        <v>264</v>
      </c>
      <c r="B265" s="37">
        <v>15</v>
      </c>
      <c r="C265" s="37" t="s">
        <v>572</v>
      </c>
      <c r="D265" s="37" t="s">
        <v>562</v>
      </c>
      <c r="E265" s="37" t="s">
        <v>556</v>
      </c>
      <c r="F265" s="37" t="s">
        <v>557</v>
      </c>
      <c r="G265" s="37" t="s">
        <v>521</v>
      </c>
      <c r="H265" s="37" t="s">
        <v>524</v>
      </c>
      <c r="I265" s="37" t="s">
        <v>575</v>
      </c>
      <c r="J265" s="37">
        <v>15</v>
      </c>
      <c r="K265" s="37" t="s">
        <v>526</v>
      </c>
      <c r="L265" s="37">
        <v>3</v>
      </c>
      <c r="M265" s="37">
        <v>3.25556</v>
      </c>
      <c r="O265" s="37">
        <v>0.24558999999999997</v>
      </c>
      <c r="P265" s="37">
        <v>3</v>
      </c>
      <c r="Q265" s="37">
        <v>3.3162600000000002</v>
      </c>
      <c r="S265" s="37">
        <v>1.2E-2</v>
      </c>
      <c r="T265" s="37">
        <v>3</v>
      </c>
      <c r="U265" s="37" t="s">
        <v>574</v>
      </c>
      <c r="V265" s="37">
        <v>1</v>
      </c>
      <c r="W265" s="37">
        <f t="shared" si="43"/>
        <v>1</v>
      </c>
      <c r="X265" s="37" t="str">
        <f t="shared" si="47"/>
        <v>Low</v>
      </c>
      <c r="Y265" s="37" t="s">
        <v>565</v>
      </c>
      <c r="Z265" s="37">
        <f t="shared" ref="Z265:Z312" si="49">LN(M265/Q265)</f>
        <v>-1.8473338045885083E-2</v>
      </c>
      <c r="AA265" s="37">
        <f t="shared" si="45"/>
        <v>1.896918603967148E-3</v>
      </c>
      <c r="AB265" s="37">
        <f t="shared" si="46"/>
        <v>4.3645964210564896E-6</v>
      </c>
      <c r="AC265" s="37">
        <f t="shared" si="48"/>
        <v>1.9012832003882044E-3</v>
      </c>
      <c r="AD265" s="37" t="s">
        <v>566</v>
      </c>
      <c r="AF265" s="37" t="s">
        <v>581</v>
      </c>
    </row>
    <row r="266" spans="1:32" s="37" customFormat="1" ht="15.75" x14ac:dyDescent="0.2">
      <c r="A266" s="37">
        <v>265</v>
      </c>
      <c r="B266" s="37">
        <v>15</v>
      </c>
      <c r="C266" s="37" t="s">
        <v>572</v>
      </c>
      <c r="D266" s="37" t="s">
        <v>562</v>
      </c>
      <c r="E266" s="37" t="s">
        <v>556</v>
      </c>
      <c r="F266" s="37" t="s">
        <v>557</v>
      </c>
      <c r="G266" s="37" t="s">
        <v>521</v>
      </c>
      <c r="H266" s="37" t="s">
        <v>524</v>
      </c>
      <c r="I266" s="37" t="s">
        <v>575</v>
      </c>
      <c r="J266" s="37">
        <v>15</v>
      </c>
      <c r="K266" s="37" t="s">
        <v>526</v>
      </c>
      <c r="L266" s="37">
        <v>3</v>
      </c>
      <c r="M266" s="37">
        <v>3.2997100000000001</v>
      </c>
      <c r="O266" s="37">
        <v>6.0710000000000264E-2</v>
      </c>
      <c r="P266" s="37">
        <v>3</v>
      </c>
      <c r="Q266" s="37">
        <v>3.3162600000000002</v>
      </c>
      <c r="S266" s="37">
        <v>1.2E-2</v>
      </c>
      <c r="T266" s="37">
        <v>3</v>
      </c>
      <c r="U266" s="37" t="s">
        <v>574</v>
      </c>
      <c r="V266" s="37">
        <v>1</v>
      </c>
      <c r="W266" s="37">
        <f t="shared" si="43"/>
        <v>1</v>
      </c>
      <c r="X266" s="37" t="str">
        <f t="shared" si="47"/>
        <v>Low</v>
      </c>
      <c r="Y266" s="37" t="s">
        <v>565</v>
      </c>
      <c r="Z266" s="37">
        <f t="shared" si="49"/>
        <v>-5.003056096479888E-3</v>
      </c>
      <c r="AA266" s="37">
        <f t="shared" si="45"/>
        <v>1.1283599558672081E-4</v>
      </c>
      <c r="AB266" s="37">
        <f t="shared" si="46"/>
        <v>4.3645964210564896E-6</v>
      </c>
      <c r="AC266" s="37">
        <f t="shared" si="48"/>
        <v>1.172005920077773E-4</v>
      </c>
      <c r="AD266" s="37" t="s">
        <v>566</v>
      </c>
      <c r="AF266" s="37" t="s">
        <v>581</v>
      </c>
    </row>
    <row r="267" spans="1:32" s="37" customFormat="1" ht="15.75" x14ac:dyDescent="0.2">
      <c r="A267" s="37">
        <v>266</v>
      </c>
      <c r="B267" s="37">
        <v>15</v>
      </c>
      <c r="C267" s="37" t="s">
        <v>572</v>
      </c>
      <c r="D267" s="37" t="s">
        <v>562</v>
      </c>
      <c r="E267" s="37" t="s">
        <v>556</v>
      </c>
      <c r="F267" s="37" t="s">
        <v>557</v>
      </c>
      <c r="G267" s="37" t="s">
        <v>521</v>
      </c>
      <c r="H267" s="37" t="s">
        <v>524</v>
      </c>
      <c r="I267" s="37" t="s">
        <v>575</v>
      </c>
      <c r="J267" s="37">
        <v>15</v>
      </c>
      <c r="K267" s="37" t="s">
        <v>526</v>
      </c>
      <c r="L267" s="37">
        <v>3</v>
      </c>
      <c r="M267" s="37">
        <v>1.5778700000000001</v>
      </c>
      <c r="O267" s="37">
        <v>0.10761999999999983</v>
      </c>
      <c r="P267" s="37">
        <v>3</v>
      </c>
      <c r="Q267" s="37">
        <v>3.3162600000000002</v>
      </c>
      <c r="S267" s="37">
        <v>1.1999999999999999E-3</v>
      </c>
      <c r="T267" s="37">
        <v>3</v>
      </c>
      <c r="U267" s="37" t="s">
        <v>574</v>
      </c>
      <c r="V267" s="37">
        <v>1</v>
      </c>
      <c r="W267" s="37">
        <f t="shared" si="43"/>
        <v>1</v>
      </c>
      <c r="X267" s="37" t="str">
        <f t="shared" si="47"/>
        <v>Low</v>
      </c>
      <c r="Y267" s="37" t="s">
        <v>565</v>
      </c>
      <c r="Z267" s="37">
        <f t="shared" si="49"/>
        <v>-0.74276180565242356</v>
      </c>
      <c r="AA267" s="37">
        <f t="shared" si="45"/>
        <v>1.5506803466306511E-3</v>
      </c>
      <c r="AB267" s="37">
        <f t="shared" si="46"/>
        <v>4.3645964210564887E-8</v>
      </c>
      <c r="AC267" s="37">
        <f t="shared" si="48"/>
        <v>1.5507239925948617E-3</v>
      </c>
      <c r="AD267" s="37" t="s">
        <v>566</v>
      </c>
      <c r="AF267" s="37" t="s">
        <v>581</v>
      </c>
    </row>
    <row r="268" spans="1:32" s="37" customFormat="1" ht="15.75" x14ac:dyDescent="0.2">
      <c r="A268" s="37">
        <v>267</v>
      </c>
      <c r="B268" s="37">
        <v>15</v>
      </c>
      <c r="C268" s="37" t="s">
        <v>572</v>
      </c>
      <c r="D268" s="37" t="s">
        <v>562</v>
      </c>
      <c r="E268" s="37" t="s">
        <v>556</v>
      </c>
      <c r="F268" s="37" t="s">
        <v>557</v>
      </c>
      <c r="G268" s="37" t="s">
        <v>521</v>
      </c>
      <c r="H268" s="37" t="s">
        <v>524</v>
      </c>
      <c r="I268" s="37" t="s">
        <v>575</v>
      </c>
      <c r="J268" s="37">
        <v>15</v>
      </c>
      <c r="K268" s="37" t="s">
        <v>526</v>
      </c>
      <c r="L268" s="37">
        <v>3</v>
      </c>
      <c r="M268" s="37">
        <v>0.54035</v>
      </c>
      <c r="O268" s="37">
        <v>6.0710000000000042E-2</v>
      </c>
      <c r="P268" s="37">
        <v>3</v>
      </c>
      <c r="Q268" s="37">
        <v>3.3162600000000002</v>
      </c>
      <c r="S268" s="37">
        <v>0.124</v>
      </c>
      <c r="T268" s="37">
        <v>3</v>
      </c>
      <c r="U268" s="37" t="s">
        <v>574</v>
      </c>
      <c r="V268" s="37">
        <v>1</v>
      </c>
      <c r="W268" s="37">
        <f t="shared" si="43"/>
        <v>1</v>
      </c>
      <c r="X268" s="37" t="str">
        <f t="shared" si="47"/>
        <v>Low</v>
      </c>
      <c r="Y268" s="37" t="s">
        <v>565</v>
      </c>
      <c r="Z268" s="37">
        <f t="shared" si="49"/>
        <v>-1.8143758431524313</v>
      </c>
      <c r="AA268" s="37">
        <f t="shared" si="45"/>
        <v>4.207740027965058E-3</v>
      </c>
      <c r="AB268" s="37">
        <f t="shared" si="46"/>
        <v>4.6604190673725401E-4</v>
      </c>
      <c r="AC268" s="37">
        <f t="shared" si="48"/>
        <v>4.6737819347023122E-3</v>
      </c>
      <c r="AD268" s="37" t="s">
        <v>566</v>
      </c>
      <c r="AF268" s="37" t="s">
        <v>581</v>
      </c>
    </row>
    <row r="269" spans="1:32" s="37" customFormat="1" ht="15.75" x14ac:dyDescent="0.2">
      <c r="A269" s="37">
        <v>268</v>
      </c>
      <c r="B269" s="37">
        <v>15</v>
      </c>
      <c r="C269" s="37" t="s">
        <v>572</v>
      </c>
      <c r="D269" s="37" t="s">
        <v>562</v>
      </c>
      <c r="E269" s="37" t="s">
        <v>556</v>
      </c>
      <c r="F269" s="37" t="s">
        <v>557</v>
      </c>
      <c r="G269" s="37" t="s">
        <v>521</v>
      </c>
      <c r="H269" s="37" t="s">
        <v>524</v>
      </c>
      <c r="I269" s="37" t="s">
        <v>575</v>
      </c>
      <c r="J269" s="37">
        <v>15</v>
      </c>
      <c r="K269" s="37" t="s">
        <v>526</v>
      </c>
      <c r="L269" s="37">
        <v>3</v>
      </c>
      <c r="M269" s="37">
        <v>0.16780999999999999</v>
      </c>
      <c r="O269" s="37">
        <v>6.25E-2</v>
      </c>
      <c r="P269" s="37">
        <v>3</v>
      </c>
      <c r="Q269" s="37">
        <v>0.18864</v>
      </c>
      <c r="S269" s="37">
        <v>6.9500000000000117E-3</v>
      </c>
      <c r="T269" s="37">
        <v>3</v>
      </c>
      <c r="U269" s="37" t="s">
        <v>574</v>
      </c>
      <c r="V269" s="37">
        <v>1</v>
      </c>
      <c r="W269" s="37">
        <f t="shared" si="43"/>
        <v>1</v>
      </c>
      <c r="X269" s="37" t="str">
        <f t="shared" si="47"/>
        <v>Low</v>
      </c>
      <c r="Y269" s="37" t="s">
        <v>565</v>
      </c>
      <c r="Z269" s="37">
        <f t="shared" si="49"/>
        <v>-0.11700804977599054</v>
      </c>
      <c r="AA269" s="37">
        <f t="shared" si="45"/>
        <v>4.6238432740648899E-2</v>
      </c>
      <c r="AB269" s="37">
        <f t="shared" si="46"/>
        <v>4.5246061237282602E-4</v>
      </c>
      <c r="AC269" s="37">
        <f t="shared" si="48"/>
        <v>4.6690893353021727E-2</v>
      </c>
      <c r="AD269" s="37" t="s">
        <v>566</v>
      </c>
      <c r="AF269" s="37" t="s">
        <v>582</v>
      </c>
    </row>
    <row r="270" spans="1:32" s="37" customFormat="1" ht="15.75" x14ac:dyDescent="0.2">
      <c r="A270" s="37">
        <v>269</v>
      </c>
      <c r="B270" s="37">
        <v>15</v>
      </c>
      <c r="C270" s="37" t="s">
        <v>572</v>
      </c>
      <c r="D270" s="37" t="s">
        <v>562</v>
      </c>
      <c r="E270" s="37" t="s">
        <v>556</v>
      </c>
      <c r="F270" s="37" t="s">
        <v>557</v>
      </c>
      <c r="G270" s="37" t="s">
        <v>521</v>
      </c>
      <c r="H270" s="37" t="s">
        <v>524</v>
      </c>
      <c r="I270" s="37" t="s">
        <v>575</v>
      </c>
      <c r="J270" s="37">
        <v>15</v>
      </c>
      <c r="K270" s="37" t="s">
        <v>526</v>
      </c>
      <c r="L270" s="37">
        <v>3</v>
      </c>
      <c r="M270" s="37">
        <v>9.4579999999999997E-2</v>
      </c>
      <c r="O270" s="37">
        <v>1.2E-2</v>
      </c>
      <c r="P270" s="37">
        <v>3</v>
      </c>
      <c r="Q270" s="37">
        <v>0.18864</v>
      </c>
      <c r="S270" s="37">
        <v>6.9500000000000117E-3</v>
      </c>
      <c r="T270" s="37">
        <v>3</v>
      </c>
      <c r="U270" s="37" t="s">
        <v>574</v>
      </c>
      <c r="V270" s="37">
        <v>1</v>
      </c>
      <c r="W270" s="37">
        <f t="shared" si="43"/>
        <v>1</v>
      </c>
      <c r="X270" s="37" t="str">
        <f t="shared" si="47"/>
        <v>Low</v>
      </c>
      <c r="Y270" s="37" t="s">
        <v>565</v>
      </c>
      <c r="Z270" s="37">
        <f t="shared" si="49"/>
        <v>-0.69039439957333115</v>
      </c>
      <c r="AA270" s="37">
        <f t="shared" si="45"/>
        <v>5.3659005338221434E-3</v>
      </c>
      <c r="AB270" s="37">
        <f t="shared" si="46"/>
        <v>4.5246061237282602E-4</v>
      </c>
      <c r="AC270" s="37">
        <f t="shared" si="48"/>
        <v>5.8183611461949695E-3</v>
      </c>
      <c r="AD270" s="37" t="s">
        <v>566</v>
      </c>
      <c r="AF270" s="37" t="s">
        <v>582</v>
      </c>
    </row>
    <row r="271" spans="1:32" s="37" customFormat="1" ht="15.75" x14ac:dyDescent="0.2">
      <c r="A271" s="37">
        <v>270</v>
      </c>
      <c r="B271" s="37">
        <v>15</v>
      </c>
      <c r="C271" s="37" t="s">
        <v>572</v>
      </c>
      <c r="D271" s="37" t="s">
        <v>562</v>
      </c>
      <c r="E271" s="37" t="s">
        <v>556</v>
      </c>
      <c r="F271" s="37" t="s">
        <v>557</v>
      </c>
      <c r="G271" s="37" t="s">
        <v>521</v>
      </c>
      <c r="H271" s="37" t="s">
        <v>524</v>
      </c>
      <c r="I271" s="37" t="s">
        <v>575</v>
      </c>
      <c r="J271" s="37">
        <v>15</v>
      </c>
      <c r="K271" s="37" t="s">
        <v>526</v>
      </c>
      <c r="L271" s="37">
        <v>3</v>
      </c>
      <c r="M271" s="37">
        <v>0.125</v>
      </c>
      <c r="O271" s="37">
        <v>3.4719999999999973E-2</v>
      </c>
      <c r="P271" s="37">
        <v>3</v>
      </c>
      <c r="Q271" s="37">
        <v>0.18864</v>
      </c>
      <c r="S271" s="37">
        <v>6.9500000000000117E-3</v>
      </c>
      <c r="T271" s="37">
        <v>3</v>
      </c>
      <c r="U271" s="37" t="s">
        <v>574</v>
      </c>
      <c r="V271" s="37">
        <v>1</v>
      </c>
      <c r="W271" s="37">
        <f t="shared" si="43"/>
        <v>1</v>
      </c>
      <c r="X271" s="37" t="str">
        <f t="shared" si="47"/>
        <v>Low</v>
      </c>
      <c r="Y271" s="37" t="s">
        <v>565</v>
      </c>
      <c r="Z271" s="37">
        <f t="shared" si="49"/>
        <v>-0.41152669948675974</v>
      </c>
      <c r="AA271" s="37">
        <f t="shared" si="45"/>
        <v>2.5716872533333292E-2</v>
      </c>
      <c r="AB271" s="37">
        <f t="shared" si="46"/>
        <v>4.5246061237282602E-4</v>
      </c>
      <c r="AC271" s="37">
        <f t="shared" si="48"/>
        <v>2.6169333145706117E-2</v>
      </c>
      <c r="AD271" s="37" t="s">
        <v>566</v>
      </c>
      <c r="AF271" s="37" t="s">
        <v>582</v>
      </c>
    </row>
    <row r="272" spans="1:32" s="37" customFormat="1" ht="15.75" x14ac:dyDescent="0.2">
      <c r="A272" s="37">
        <v>271</v>
      </c>
      <c r="B272" s="37">
        <v>15</v>
      </c>
      <c r="C272" s="37" t="s">
        <v>572</v>
      </c>
      <c r="D272" s="37" t="s">
        <v>522</v>
      </c>
      <c r="E272" s="37" t="s">
        <v>132</v>
      </c>
      <c r="F272" s="37" t="s">
        <v>509</v>
      </c>
      <c r="G272" s="37" t="s">
        <v>168</v>
      </c>
      <c r="H272" s="37" t="s">
        <v>167</v>
      </c>
      <c r="I272" s="37" t="s">
        <v>356</v>
      </c>
      <c r="J272" s="37">
        <v>15</v>
      </c>
      <c r="K272" s="37" t="s">
        <v>182</v>
      </c>
      <c r="L272" s="37">
        <v>3</v>
      </c>
      <c r="M272" s="37">
        <v>0.14319999999999999</v>
      </c>
      <c r="O272" s="37">
        <v>4.8610000000000042E-2</v>
      </c>
      <c r="P272" s="37">
        <v>3</v>
      </c>
      <c r="Q272" s="37">
        <v>0.18864</v>
      </c>
      <c r="S272" s="37">
        <v>6.9500000000000117E-3</v>
      </c>
      <c r="T272" s="37">
        <v>3</v>
      </c>
      <c r="U272" s="37" t="s">
        <v>574</v>
      </c>
      <c r="V272" s="37">
        <v>1</v>
      </c>
      <c r="W272" s="37">
        <f t="shared" si="43"/>
        <v>1</v>
      </c>
      <c r="X272" s="37" t="str">
        <f t="shared" si="47"/>
        <v>Low</v>
      </c>
      <c r="Y272" s="37" t="s">
        <v>565</v>
      </c>
      <c r="Z272" s="37">
        <f t="shared" si="49"/>
        <v>-0.27559818226251559</v>
      </c>
      <c r="AA272" s="37">
        <f t="shared" si="45"/>
        <v>3.8409968542908637E-2</v>
      </c>
      <c r="AB272" s="37">
        <f t="shared" si="46"/>
        <v>4.5246061237282602E-4</v>
      </c>
      <c r="AC272" s="37">
        <f t="shared" si="48"/>
        <v>3.8862429155281465E-2</v>
      </c>
      <c r="AD272" s="37" t="s">
        <v>566</v>
      </c>
      <c r="AF272" s="37" t="s">
        <v>368</v>
      </c>
    </row>
    <row r="273" spans="1:32" s="38" customFormat="1" ht="15.75" x14ac:dyDescent="0.2">
      <c r="A273" s="38">
        <v>272</v>
      </c>
      <c r="B273" s="38">
        <v>16</v>
      </c>
      <c r="C273" s="38" t="s">
        <v>583</v>
      </c>
      <c r="D273" s="38" t="s">
        <v>584</v>
      </c>
      <c r="E273" s="38" t="s">
        <v>587</v>
      </c>
      <c r="F273" s="38" t="s">
        <v>178</v>
      </c>
      <c r="G273" s="38" t="s">
        <v>168</v>
      </c>
      <c r="H273" s="38" t="s">
        <v>167</v>
      </c>
      <c r="I273" s="38" t="s">
        <v>356</v>
      </c>
      <c r="J273" s="38">
        <v>16</v>
      </c>
      <c r="K273" s="38" t="s">
        <v>187</v>
      </c>
      <c r="L273" s="38">
        <v>3</v>
      </c>
      <c r="M273" s="38">
        <v>401022.03419999999</v>
      </c>
      <c r="N273" s="38">
        <v>89246.136119999981</v>
      </c>
      <c r="O273" s="38">
        <f xml:space="preserve"> N273*SQRT(L273)</f>
        <v>154578.84213904792</v>
      </c>
      <c r="P273" s="38">
        <v>3</v>
      </c>
      <c r="Q273" s="38">
        <v>406514.10411999997</v>
      </c>
      <c r="R273" s="38">
        <v>21968.27966</v>
      </c>
      <c r="S273" s="38">
        <f xml:space="preserve"> R273*SQRT(P273)</f>
        <v>38050.176526001938</v>
      </c>
      <c r="T273" s="38">
        <v>3</v>
      </c>
      <c r="U273" s="38" t="s">
        <v>590</v>
      </c>
      <c r="V273" s="38">
        <v>0.25</v>
      </c>
      <c r="W273" s="38">
        <f>(V273/ 1000) / (0.5 / 1000)</f>
        <v>0.5</v>
      </c>
      <c r="X273" s="38" t="str">
        <f t="shared" si="47"/>
        <v>Low</v>
      </c>
      <c r="Y273" s="38" t="s">
        <v>591</v>
      </c>
      <c r="Z273" s="38">
        <f t="shared" ref="Z273:Z288" si="50">(LN(M273/Q273))*-1</f>
        <v>1.360225094146921E-2</v>
      </c>
      <c r="AA273" s="38">
        <f t="shared" si="45"/>
        <v>4.9527040097766442E-2</v>
      </c>
      <c r="AB273" s="38">
        <f t="shared" si="46"/>
        <v>2.9203900549023606E-3</v>
      </c>
      <c r="AC273" s="38">
        <f t="shared" si="48"/>
        <v>5.2447430152668804E-2</v>
      </c>
      <c r="AD273" s="38" t="s">
        <v>212</v>
      </c>
      <c r="AF273" s="38" t="s">
        <v>188</v>
      </c>
    </row>
    <row r="274" spans="1:32" s="38" customFormat="1" ht="15.75" x14ac:dyDescent="0.2">
      <c r="A274" s="38">
        <v>273</v>
      </c>
      <c r="B274" s="38">
        <v>16</v>
      </c>
      <c r="C274" s="38" t="s">
        <v>583</v>
      </c>
      <c r="D274" s="38" t="s">
        <v>584</v>
      </c>
      <c r="E274" s="38" t="s">
        <v>587</v>
      </c>
      <c r="F274" s="38" t="s">
        <v>178</v>
      </c>
      <c r="G274" s="38" t="s">
        <v>168</v>
      </c>
      <c r="H274" s="38" t="s">
        <v>167</v>
      </c>
      <c r="I274" s="38" t="s">
        <v>356</v>
      </c>
      <c r="J274" s="38">
        <v>16</v>
      </c>
      <c r="K274" s="38" t="s">
        <v>187</v>
      </c>
      <c r="L274" s="38">
        <v>3</v>
      </c>
      <c r="M274" s="38">
        <v>160.02534</v>
      </c>
      <c r="N274" s="38">
        <v>31.458679999999987</v>
      </c>
      <c r="O274" s="38">
        <f xml:space="preserve"> N274*SQRT(L274)</f>
        <v>54.488032099050862</v>
      </c>
      <c r="P274" s="38">
        <v>3</v>
      </c>
      <c r="Q274" s="38">
        <v>137.64752999999999</v>
      </c>
      <c r="R274" s="38">
        <v>17.513069999999999</v>
      </c>
      <c r="S274" s="38">
        <f xml:space="preserve"> R274*SQRT(P274)</f>
        <v>30.333527036510276</v>
      </c>
      <c r="T274" s="38">
        <v>3</v>
      </c>
      <c r="U274" s="38" t="s">
        <v>590</v>
      </c>
      <c r="V274" s="38">
        <v>0.25</v>
      </c>
      <c r="W274" s="38">
        <f>(V274/ 1000) / (0.5 / 1000)</f>
        <v>0.5</v>
      </c>
      <c r="X274" s="38" t="str">
        <f t="shared" si="47"/>
        <v>Low</v>
      </c>
      <c r="Y274" s="38" t="s">
        <v>591</v>
      </c>
      <c r="Z274" s="38">
        <f t="shared" si="50"/>
        <v>-0.15063589032723532</v>
      </c>
      <c r="AA274" s="38">
        <f t="shared" si="45"/>
        <v>3.8645904321027449E-2</v>
      </c>
      <c r="AB274" s="38">
        <f t="shared" si="46"/>
        <v>1.6187795965499251E-2</v>
      </c>
      <c r="AC274" s="38">
        <f t="shared" si="48"/>
        <v>5.4833700286526704E-2</v>
      </c>
      <c r="AD274" s="38" t="s">
        <v>212</v>
      </c>
      <c r="AF274" s="38" t="s">
        <v>189</v>
      </c>
    </row>
    <row r="275" spans="1:32" s="38" customFormat="1" ht="15.75" x14ac:dyDescent="0.2">
      <c r="A275" s="38">
        <v>274</v>
      </c>
      <c r="B275" s="38">
        <v>16</v>
      </c>
      <c r="C275" s="38" t="s">
        <v>583</v>
      </c>
      <c r="D275" s="38" t="s">
        <v>584</v>
      </c>
      <c r="E275" s="38" t="s">
        <v>587</v>
      </c>
      <c r="F275" s="38" t="s">
        <v>178</v>
      </c>
      <c r="G275" s="38" t="s">
        <v>168</v>
      </c>
      <c r="H275" s="38" t="s">
        <v>167</v>
      </c>
      <c r="I275" s="38" t="s">
        <v>356</v>
      </c>
      <c r="J275" s="38">
        <v>16</v>
      </c>
      <c r="K275" s="38" t="s">
        <v>187</v>
      </c>
      <c r="L275" s="38">
        <v>3</v>
      </c>
      <c r="M275" s="38">
        <v>35.813160000000003</v>
      </c>
      <c r="N275" s="38">
        <v>1.6366299999999967</v>
      </c>
      <c r="O275" s="38">
        <f xml:space="preserve"> N275*SQRT(L275)</f>
        <v>2.834726313191446</v>
      </c>
      <c r="P275" s="38">
        <v>3</v>
      </c>
      <c r="Q275" s="38">
        <v>42.621540000000003</v>
      </c>
      <c r="R275" s="38">
        <v>1.2438399999999987</v>
      </c>
      <c r="S275" s="38">
        <f xml:space="preserve"> R275*SQRT(P275)</f>
        <v>2.15439407648647</v>
      </c>
      <c r="T275" s="38">
        <v>3</v>
      </c>
      <c r="U275" s="38" t="s">
        <v>590</v>
      </c>
      <c r="V275" s="38">
        <v>0.25</v>
      </c>
      <c r="W275" s="38">
        <f>(V275/ 1000) / (0.5 / 1000)</f>
        <v>0.5</v>
      </c>
      <c r="X275" s="38" t="str">
        <f t="shared" si="47"/>
        <v>Low</v>
      </c>
      <c r="Y275" s="38" t="s">
        <v>591</v>
      </c>
      <c r="Z275" s="38">
        <f t="shared" si="50"/>
        <v>0.17404433566393288</v>
      </c>
      <c r="AA275" s="38">
        <f t="shared" si="45"/>
        <v>2.0884098331214393E-3</v>
      </c>
      <c r="AB275" s="38">
        <f t="shared" si="46"/>
        <v>8.5166884930472516E-4</v>
      </c>
      <c r="AC275" s="38">
        <f t="shared" si="48"/>
        <v>2.9400786824261647E-3</v>
      </c>
      <c r="AD275" s="38" t="s">
        <v>212</v>
      </c>
      <c r="AF275" s="38" t="s">
        <v>190</v>
      </c>
    </row>
    <row r="276" spans="1:32" s="38" customFormat="1" ht="15.75" x14ac:dyDescent="0.2">
      <c r="A276" s="38">
        <v>275</v>
      </c>
      <c r="B276" s="38">
        <v>16</v>
      </c>
      <c r="C276" s="38" t="s">
        <v>583</v>
      </c>
      <c r="D276" s="38" t="s">
        <v>584</v>
      </c>
      <c r="E276" s="38" t="s">
        <v>587</v>
      </c>
      <c r="F276" s="38" t="s">
        <v>178</v>
      </c>
      <c r="G276" s="38" t="s">
        <v>168</v>
      </c>
      <c r="H276" s="38" t="s">
        <v>167</v>
      </c>
      <c r="I276" s="38" t="s">
        <v>356</v>
      </c>
      <c r="J276" s="38">
        <v>16</v>
      </c>
      <c r="K276" s="38" t="s">
        <v>187</v>
      </c>
      <c r="L276" s="38">
        <v>3</v>
      </c>
      <c r="M276" s="38">
        <v>325.59699999999998</v>
      </c>
      <c r="N276" s="38">
        <v>49.428629999999998</v>
      </c>
      <c r="O276" s="38">
        <f xml:space="preserve"> N276*SQRT(L276)</f>
        <v>85.61289850852323</v>
      </c>
      <c r="P276" s="38">
        <v>3</v>
      </c>
      <c r="Q276" s="38">
        <v>280.97393</v>
      </c>
      <c r="R276" s="38">
        <v>30.206389999999999</v>
      </c>
      <c r="S276" s="38">
        <f xml:space="preserve"> R276*SQRT(P276)</f>
        <v>52.319002193240458</v>
      </c>
      <c r="T276" s="38">
        <v>3</v>
      </c>
      <c r="U276" s="38" t="s">
        <v>590</v>
      </c>
      <c r="V276" s="38">
        <v>0.25</v>
      </c>
      <c r="W276" s="38">
        <f>(V276/ 1000) / (0.5 / 1000)</f>
        <v>0.5</v>
      </c>
      <c r="X276" s="38" t="str">
        <f t="shared" si="47"/>
        <v>Low</v>
      </c>
      <c r="Y276" s="38" t="s">
        <v>591</v>
      </c>
      <c r="Z276" s="38">
        <f t="shared" si="50"/>
        <v>-0.14739853109763121</v>
      </c>
      <c r="AA276" s="38">
        <f t="shared" si="45"/>
        <v>2.3046042443453506E-2</v>
      </c>
      <c r="AB276" s="38">
        <f t="shared" si="46"/>
        <v>1.1557545148878749E-2</v>
      </c>
      <c r="AC276" s="38">
        <f t="shared" si="48"/>
        <v>3.4603587592332258E-2</v>
      </c>
      <c r="AD276" s="38" t="s">
        <v>212</v>
      </c>
      <c r="AF276" s="38" t="s">
        <v>191</v>
      </c>
    </row>
    <row r="277" spans="1:32" s="42" customFormat="1" ht="15.75" x14ac:dyDescent="0.2">
      <c r="A277" s="42">
        <v>276</v>
      </c>
      <c r="B277" s="42">
        <v>17</v>
      </c>
      <c r="C277" s="42" t="s">
        <v>638</v>
      </c>
      <c r="D277" s="42" t="s">
        <v>171</v>
      </c>
      <c r="E277" s="42" t="s">
        <v>641</v>
      </c>
      <c r="F277" s="42" t="s">
        <v>133</v>
      </c>
      <c r="G277" s="42" t="s">
        <v>141</v>
      </c>
      <c r="H277" s="42" t="s">
        <v>167</v>
      </c>
      <c r="I277" s="42" t="s">
        <v>356</v>
      </c>
      <c r="J277" s="42">
        <v>17</v>
      </c>
      <c r="K277" s="42" t="s">
        <v>640</v>
      </c>
      <c r="L277" s="42">
        <v>6</v>
      </c>
      <c r="M277" s="42">
        <v>19.348759999999999</v>
      </c>
      <c r="O277" s="42">
        <v>2.0711500000000029</v>
      </c>
      <c r="P277" s="42">
        <v>6</v>
      </c>
      <c r="Q277" s="42">
        <v>19.10022</v>
      </c>
      <c r="S277" s="42">
        <v>1.6155000000000008</v>
      </c>
      <c r="T277" s="42">
        <v>6</v>
      </c>
      <c r="U277" s="42" t="s">
        <v>642</v>
      </c>
      <c r="V277" s="42">
        <v>1E-3</v>
      </c>
      <c r="W277" s="42">
        <f>V277/1000</f>
        <v>9.9999999999999995E-7</v>
      </c>
      <c r="X277" s="42" t="str">
        <f t="shared" si="47"/>
        <v>Low</v>
      </c>
      <c r="Y277" s="42" t="s">
        <v>643</v>
      </c>
      <c r="Z277" s="42">
        <f t="shared" si="50"/>
        <v>-1.2928481424212882E-2</v>
      </c>
      <c r="AA277" s="42">
        <f t="shared" si="45"/>
        <v>1.9097019016089192E-3</v>
      </c>
      <c r="AB277" s="42">
        <f t="shared" si="46"/>
        <v>1.1923010741045101E-3</v>
      </c>
      <c r="AC277" s="42">
        <f t="shared" si="48"/>
        <v>3.1020029757134293E-3</v>
      </c>
      <c r="AD277" s="42" t="s">
        <v>639</v>
      </c>
      <c r="AF277" s="42" t="s">
        <v>188</v>
      </c>
    </row>
    <row r="278" spans="1:32" s="42" customFormat="1" ht="15.75" x14ac:dyDescent="0.2">
      <c r="A278" s="42">
        <v>277</v>
      </c>
      <c r="B278" s="42">
        <v>17</v>
      </c>
      <c r="C278" s="42" t="s">
        <v>638</v>
      </c>
      <c r="D278" s="42" t="s">
        <v>171</v>
      </c>
      <c r="E278" s="42" t="s">
        <v>641</v>
      </c>
      <c r="F278" s="42" t="s">
        <v>509</v>
      </c>
      <c r="G278" s="42" t="s">
        <v>141</v>
      </c>
      <c r="H278" s="42" t="s">
        <v>167</v>
      </c>
      <c r="I278" s="42" t="s">
        <v>356</v>
      </c>
      <c r="J278" s="42">
        <v>17</v>
      </c>
      <c r="K278" s="42" t="s">
        <v>644</v>
      </c>
      <c r="L278" s="42">
        <v>6</v>
      </c>
      <c r="M278" s="42">
        <v>25.97645</v>
      </c>
      <c r="O278" s="42">
        <v>3.89377</v>
      </c>
      <c r="P278" s="42">
        <v>6</v>
      </c>
      <c r="Q278" s="42">
        <v>19.10022</v>
      </c>
      <c r="S278" s="42">
        <v>1.6155000000000008</v>
      </c>
      <c r="T278" s="42">
        <v>6</v>
      </c>
      <c r="U278" s="42" t="s">
        <v>642</v>
      </c>
      <c r="V278" s="42">
        <v>1E-3</v>
      </c>
      <c r="W278" s="42">
        <f t="shared" ref="W278:W312" si="51">V278/1000</f>
        <v>9.9999999999999995E-7</v>
      </c>
      <c r="X278" s="42" t="str">
        <f t="shared" si="47"/>
        <v>Low</v>
      </c>
      <c r="Y278" s="42" t="s">
        <v>645</v>
      </c>
      <c r="Z278" s="42">
        <f t="shared" si="50"/>
        <v>-0.30749050502303549</v>
      </c>
      <c r="AA278" s="42">
        <f t="shared" si="45"/>
        <v>3.7448095943270958E-3</v>
      </c>
      <c r="AB278" s="42">
        <f t="shared" si="46"/>
        <v>1.1923010741045101E-3</v>
      </c>
      <c r="AC278" s="42">
        <f t="shared" si="48"/>
        <v>4.9371106684316058E-3</v>
      </c>
      <c r="AD278" s="42" t="s">
        <v>639</v>
      </c>
      <c r="AF278" s="42" t="s">
        <v>188</v>
      </c>
    </row>
    <row r="279" spans="1:32" s="42" customFormat="1" ht="15.75" x14ac:dyDescent="0.2">
      <c r="A279" s="42">
        <v>278</v>
      </c>
      <c r="B279" s="42">
        <v>17</v>
      </c>
      <c r="C279" s="42" t="s">
        <v>638</v>
      </c>
      <c r="D279" s="42" t="s">
        <v>171</v>
      </c>
      <c r="E279" s="42" t="s">
        <v>641</v>
      </c>
      <c r="F279" s="42" t="s">
        <v>509</v>
      </c>
      <c r="G279" s="42" t="s">
        <v>141</v>
      </c>
      <c r="H279" s="42" t="s">
        <v>167</v>
      </c>
      <c r="I279" s="42" t="s">
        <v>356</v>
      </c>
      <c r="J279" s="42">
        <v>17</v>
      </c>
      <c r="K279" s="42" t="s">
        <v>646</v>
      </c>
      <c r="L279" s="42">
        <v>6</v>
      </c>
      <c r="M279" s="42">
        <v>31.692830000000001</v>
      </c>
      <c r="O279" s="42">
        <v>3.4381199999999978</v>
      </c>
      <c r="P279" s="42">
        <v>6</v>
      </c>
      <c r="Q279" s="42">
        <v>19.10022</v>
      </c>
      <c r="S279" s="42">
        <v>1.6155000000000008</v>
      </c>
      <c r="T279" s="42">
        <v>6</v>
      </c>
      <c r="U279" s="42" t="s">
        <v>642</v>
      </c>
      <c r="V279" s="42">
        <v>1E-3</v>
      </c>
      <c r="W279" s="42">
        <f t="shared" si="51"/>
        <v>9.9999999999999995E-7</v>
      </c>
      <c r="X279" s="42" t="str">
        <f t="shared" si="47"/>
        <v>Low</v>
      </c>
      <c r="Y279" s="42" t="s">
        <v>645</v>
      </c>
      <c r="Z279" s="42">
        <f t="shared" si="50"/>
        <v>-0.50639061902385452</v>
      </c>
      <c r="AA279" s="42">
        <f t="shared" si="45"/>
        <v>1.9614117328151911E-3</v>
      </c>
      <c r="AB279" s="42">
        <f t="shared" si="46"/>
        <v>1.1923010741045101E-3</v>
      </c>
      <c r="AC279" s="42">
        <f t="shared" si="48"/>
        <v>3.1537128069197011E-3</v>
      </c>
      <c r="AD279" s="42" t="s">
        <v>639</v>
      </c>
      <c r="AF279" s="42" t="s">
        <v>188</v>
      </c>
    </row>
    <row r="280" spans="1:32" s="42" customFormat="1" ht="15.75" x14ac:dyDescent="0.2">
      <c r="A280" s="42">
        <v>279</v>
      </c>
      <c r="B280" s="42">
        <v>17</v>
      </c>
      <c r="C280" s="42" t="s">
        <v>638</v>
      </c>
      <c r="D280" s="42" t="s">
        <v>171</v>
      </c>
      <c r="E280" s="42" t="s">
        <v>641</v>
      </c>
      <c r="F280" s="42" t="s">
        <v>133</v>
      </c>
      <c r="G280" s="42" t="s">
        <v>141</v>
      </c>
      <c r="H280" s="42" t="s">
        <v>167</v>
      </c>
      <c r="I280" s="42" t="s">
        <v>356</v>
      </c>
      <c r="J280" s="42">
        <v>17</v>
      </c>
      <c r="K280" s="42" t="s">
        <v>640</v>
      </c>
      <c r="L280" s="42">
        <v>6</v>
      </c>
      <c r="M280" s="42">
        <v>13.632379999999999</v>
      </c>
      <c r="O280" s="42">
        <v>3.1895700000000016</v>
      </c>
      <c r="P280" s="42">
        <v>6</v>
      </c>
      <c r="Q280" s="42">
        <v>11.35411</v>
      </c>
      <c r="S280" s="42">
        <v>2.0297299999999989</v>
      </c>
      <c r="T280" s="42">
        <v>6</v>
      </c>
      <c r="U280" s="42" t="s">
        <v>642</v>
      </c>
      <c r="V280" s="42">
        <v>1E-3</v>
      </c>
      <c r="W280" s="42">
        <f t="shared" si="51"/>
        <v>9.9999999999999995E-7</v>
      </c>
      <c r="X280" s="42" t="str">
        <f t="shared" si="47"/>
        <v>Low</v>
      </c>
      <c r="Y280" s="42" t="s">
        <v>643</v>
      </c>
      <c r="Z280" s="42">
        <f t="shared" si="50"/>
        <v>-0.18286805236808645</v>
      </c>
      <c r="AA280" s="42">
        <f t="shared" si="45"/>
        <v>9.1236718859358818E-3</v>
      </c>
      <c r="AB280" s="42">
        <f t="shared" si="46"/>
        <v>5.3262199421970453E-3</v>
      </c>
      <c r="AC280" s="42">
        <f t="shared" si="48"/>
        <v>1.4449891828132926E-2</v>
      </c>
      <c r="AD280" s="42" t="s">
        <v>639</v>
      </c>
      <c r="AF280" s="42" t="s">
        <v>188</v>
      </c>
    </row>
    <row r="281" spans="1:32" s="42" customFormat="1" ht="15.75" x14ac:dyDescent="0.2">
      <c r="A281" s="42">
        <v>280</v>
      </c>
      <c r="B281" s="42">
        <v>17</v>
      </c>
      <c r="C281" s="42" t="s">
        <v>638</v>
      </c>
      <c r="D281" s="42" t="s">
        <v>171</v>
      </c>
      <c r="E281" s="42" t="s">
        <v>641</v>
      </c>
      <c r="F281" s="42" t="s">
        <v>509</v>
      </c>
      <c r="G281" s="42" t="s">
        <v>141</v>
      </c>
      <c r="H281" s="42" t="s">
        <v>167</v>
      </c>
      <c r="I281" s="42" t="s">
        <v>356</v>
      </c>
      <c r="J281" s="42">
        <v>17</v>
      </c>
      <c r="K281" s="42" t="s">
        <v>644</v>
      </c>
      <c r="L281" s="42">
        <v>6</v>
      </c>
      <c r="M281" s="42">
        <v>22.331219999999998</v>
      </c>
      <c r="O281" s="42">
        <v>2.0297300000000007</v>
      </c>
      <c r="P281" s="42">
        <v>6</v>
      </c>
      <c r="Q281" s="42">
        <v>11.35411</v>
      </c>
      <c r="S281" s="42">
        <v>2.0297299999999989</v>
      </c>
      <c r="T281" s="42">
        <v>6</v>
      </c>
      <c r="U281" s="42" t="s">
        <v>642</v>
      </c>
      <c r="V281" s="42">
        <v>1E-3</v>
      </c>
      <c r="W281" s="42">
        <f t="shared" si="51"/>
        <v>9.9999999999999995E-7</v>
      </c>
      <c r="X281" s="42" t="str">
        <f t="shared" si="47"/>
        <v>Low</v>
      </c>
      <c r="Y281" s="42" t="s">
        <v>645</v>
      </c>
      <c r="Z281" s="42">
        <f t="shared" si="50"/>
        <v>-0.67640590646256937</v>
      </c>
      <c r="AA281" s="42">
        <f t="shared" si="45"/>
        <v>1.3768936305987415E-3</v>
      </c>
      <c r="AB281" s="42">
        <f t="shared" si="46"/>
        <v>5.3262199421970453E-3</v>
      </c>
      <c r="AC281" s="42">
        <f t="shared" si="48"/>
        <v>6.7031135727957866E-3</v>
      </c>
      <c r="AD281" s="42" t="s">
        <v>639</v>
      </c>
      <c r="AF281" s="42" t="s">
        <v>188</v>
      </c>
    </row>
    <row r="282" spans="1:32" s="42" customFormat="1" ht="15.75" x14ac:dyDescent="0.2">
      <c r="A282" s="42">
        <v>281</v>
      </c>
      <c r="B282" s="42">
        <v>17</v>
      </c>
      <c r="C282" s="42" t="s">
        <v>638</v>
      </c>
      <c r="D282" s="42" t="s">
        <v>171</v>
      </c>
      <c r="E282" s="42" t="s">
        <v>641</v>
      </c>
      <c r="F282" s="42" t="s">
        <v>509</v>
      </c>
      <c r="G282" s="42" t="s">
        <v>141</v>
      </c>
      <c r="H282" s="42" t="s">
        <v>167</v>
      </c>
      <c r="I282" s="42" t="s">
        <v>356</v>
      </c>
      <c r="J282" s="42">
        <v>17</v>
      </c>
      <c r="K282" s="42" t="s">
        <v>646</v>
      </c>
      <c r="L282" s="42">
        <v>6</v>
      </c>
      <c r="M282" s="42">
        <v>21.171379999999999</v>
      </c>
      <c r="O282" s="42">
        <v>2.7339200000000012</v>
      </c>
      <c r="P282" s="42">
        <v>6</v>
      </c>
      <c r="Q282" s="42">
        <v>11.35411</v>
      </c>
      <c r="S282" s="42">
        <v>2.0297299999999989</v>
      </c>
      <c r="T282" s="42">
        <v>6</v>
      </c>
      <c r="U282" s="42" t="s">
        <v>642</v>
      </c>
      <c r="V282" s="42">
        <v>1E-3</v>
      </c>
      <c r="W282" s="42">
        <f t="shared" si="51"/>
        <v>9.9999999999999995E-7</v>
      </c>
      <c r="X282" s="42" t="str">
        <f t="shared" si="47"/>
        <v>Low</v>
      </c>
      <c r="Y282" s="42" t="s">
        <v>645</v>
      </c>
      <c r="Z282" s="42">
        <f t="shared" si="50"/>
        <v>-0.62307047668979954</v>
      </c>
      <c r="AA282" s="42">
        <f t="shared" si="45"/>
        <v>2.7792141947196834E-3</v>
      </c>
      <c r="AB282" s="42">
        <f t="shared" si="46"/>
        <v>5.3262199421970453E-3</v>
      </c>
      <c r="AC282" s="42">
        <f t="shared" si="48"/>
        <v>8.1054341369167296E-3</v>
      </c>
      <c r="AD282" s="42" t="s">
        <v>639</v>
      </c>
      <c r="AF282" s="42" t="s">
        <v>188</v>
      </c>
    </row>
    <row r="283" spans="1:32" s="42" customFormat="1" ht="15.75" x14ac:dyDescent="0.2">
      <c r="A283" s="42">
        <v>282</v>
      </c>
      <c r="B283" s="42">
        <v>17</v>
      </c>
      <c r="C283" s="42" t="s">
        <v>638</v>
      </c>
      <c r="D283" s="42" t="s">
        <v>171</v>
      </c>
      <c r="E283" s="42" t="s">
        <v>641</v>
      </c>
      <c r="F283" s="42" t="s">
        <v>133</v>
      </c>
      <c r="G283" s="42" t="s">
        <v>139</v>
      </c>
      <c r="H283" s="42" t="s">
        <v>167</v>
      </c>
      <c r="I283" s="42" t="s">
        <v>356</v>
      </c>
      <c r="J283" s="42">
        <v>17</v>
      </c>
      <c r="K283" s="42" t="s">
        <v>640</v>
      </c>
      <c r="L283" s="42">
        <v>6</v>
      </c>
      <c r="M283" s="42">
        <v>18.437449999999998</v>
      </c>
      <c r="O283" s="42">
        <v>1.11843</v>
      </c>
      <c r="P283" s="42">
        <v>6</v>
      </c>
      <c r="Q283" s="42">
        <v>21.87557</v>
      </c>
      <c r="S283" s="42">
        <v>3.4381100000000018</v>
      </c>
      <c r="T283" s="42">
        <v>6</v>
      </c>
      <c r="U283" s="42" t="s">
        <v>642</v>
      </c>
      <c r="V283" s="42">
        <v>1E-3</v>
      </c>
      <c r="W283" s="42">
        <f t="shared" si="51"/>
        <v>9.9999999999999995E-7</v>
      </c>
      <c r="X283" s="42" t="str">
        <f t="shared" si="47"/>
        <v>Low</v>
      </c>
      <c r="Y283" s="42" t="s">
        <v>643</v>
      </c>
      <c r="Z283" s="42">
        <f t="shared" si="50"/>
        <v>0.17098656681509924</v>
      </c>
      <c r="AA283" s="42">
        <f t="shared" si="45"/>
        <v>6.1328826399388808E-4</v>
      </c>
      <c r="AB283" s="42">
        <f t="shared" si="46"/>
        <v>4.1168925166695566E-3</v>
      </c>
      <c r="AC283" s="42">
        <f t="shared" si="48"/>
        <v>4.730180780663445E-3</v>
      </c>
      <c r="AD283" s="42" t="s">
        <v>639</v>
      </c>
      <c r="AF283" s="42" t="s">
        <v>188</v>
      </c>
    </row>
    <row r="284" spans="1:32" s="42" customFormat="1" ht="15.75" x14ac:dyDescent="0.2">
      <c r="A284" s="42">
        <v>283</v>
      </c>
      <c r="B284" s="42">
        <v>17</v>
      </c>
      <c r="C284" s="42" t="s">
        <v>638</v>
      </c>
      <c r="D284" s="42" t="s">
        <v>171</v>
      </c>
      <c r="E284" s="42" t="s">
        <v>641</v>
      </c>
      <c r="F284" s="42" t="s">
        <v>509</v>
      </c>
      <c r="G284" s="42" t="s">
        <v>139</v>
      </c>
      <c r="H284" s="42" t="s">
        <v>167</v>
      </c>
      <c r="I284" s="42" t="s">
        <v>356</v>
      </c>
      <c r="J284" s="42">
        <v>17</v>
      </c>
      <c r="K284" s="42" t="s">
        <v>644</v>
      </c>
      <c r="L284" s="42">
        <v>6</v>
      </c>
      <c r="M284" s="42">
        <v>27.79907</v>
      </c>
      <c r="O284" s="42">
        <v>2.0711499999999994</v>
      </c>
      <c r="P284" s="42">
        <v>6</v>
      </c>
      <c r="Q284" s="42">
        <v>21.87557</v>
      </c>
      <c r="S284" s="42">
        <v>3.4381100000000018</v>
      </c>
      <c r="T284" s="42">
        <v>6</v>
      </c>
      <c r="U284" s="42" t="s">
        <v>642</v>
      </c>
      <c r="V284" s="42">
        <v>1E-3</v>
      </c>
      <c r="W284" s="42">
        <f t="shared" si="51"/>
        <v>9.9999999999999995E-7</v>
      </c>
      <c r="X284" s="42" t="str">
        <f t="shared" si="47"/>
        <v>Low</v>
      </c>
      <c r="Y284" s="42" t="s">
        <v>645</v>
      </c>
      <c r="Z284" s="42">
        <f t="shared" si="50"/>
        <v>-0.23963207785255547</v>
      </c>
      <c r="AA284" s="42">
        <f t="shared" si="45"/>
        <v>9.2514822884571548E-4</v>
      </c>
      <c r="AB284" s="42">
        <f t="shared" si="46"/>
        <v>4.1168925166695566E-3</v>
      </c>
      <c r="AC284" s="42">
        <f t="shared" si="48"/>
        <v>5.0420407455152721E-3</v>
      </c>
      <c r="AD284" s="42" t="s">
        <v>639</v>
      </c>
      <c r="AF284" s="42" t="s">
        <v>188</v>
      </c>
    </row>
    <row r="285" spans="1:32" s="42" customFormat="1" ht="15.75" x14ac:dyDescent="0.2">
      <c r="A285" s="42">
        <v>284</v>
      </c>
      <c r="B285" s="42">
        <v>17</v>
      </c>
      <c r="C285" s="42" t="s">
        <v>638</v>
      </c>
      <c r="D285" s="42" t="s">
        <v>171</v>
      </c>
      <c r="E285" s="42" t="s">
        <v>641</v>
      </c>
      <c r="F285" s="42" t="s">
        <v>509</v>
      </c>
      <c r="G285" s="42" t="s">
        <v>139</v>
      </c>
      <c r="H285" s="42" t="s">
        <v>167</v>
      </c>
      <c r="I285" s="42" t="s">
        <v>356</v>
      </c>
      <c r="J285" s="42">
        <v>17</v>
      </c>
      <c r="K285" s="42" t="s">
        <v>646</v>
      </c>
      <c r="L285" s="42">
        <v>6</v>
      </c>
      <c r="M285" s="42">
        <v>36.746450000000003</v>
      </c>
      <c r="O285" s="42">
        <v>1.8226099999999974</v>
      </c>
      <c r="P285" s="42">
        <v>6</v>
      </c>
      <c r="Q285" s="42">
        <v>21.87557</v>
      </c>
      <c r="S285" s="42">
        <v>3.4381100000000018</v>
      </c>
      <c r="T285" s="42">
        <v>6</v>
      </c>
      <c r="U285" s="42" t="s">
        <v>642</v>
      </c>
      <c r="V285" s="42">
        <v>1E-3</v>
      </c>
      <c r="W285" s="42">
        <f t="shared" si="51"/>
        <v>9.9999999999999995E-7</v>
      </c>
      <c r="X285" s="42" t="str">
        <f t="shared" si="47"/>
        <v>Low</v>
      </c>
      <c r="Y285" s="42" t="s">
        <v>645</v>
      </c>
      <c r="Z285" s="42">
        <f t="shared" si="50"/>
        <v>-0.51867113330638714</v>
      </c>
      <c r="AA285" s="42">
        <f t="shared" si="45"/>
        <v>4.1002040366381329E-4</v>
      </c>
      <c r="AB285" s="42">
        <f t="shared" si="46"/>
        <v>4.1168925166695566E-3</v>
      </c>
      <c r="AC285" s="42">
        <f t="shared" si="48"/>
        <v>4.5269129203333695E-3</v>
      </c>
      <c r="AD285" s="42" t="s">
        <v>639</v>
      </c>
      <c r="AF285" s="42" t="s">
        <v>188</v>
      </c>
    </row>
    <row r="286" spans="1:32" s="42" customFormat="1" ht="15.75" x14ac:dyDescent="0.2">
      <c r="A286" s="42">
        <v>285</v>
      </c>
      <c r="B286" s="42">
        <v>17</v>
      </c>
      <c r="C286" s="42" t="s">
        <v>638</v>
      </c>
      <c r="D286" s="42" t="s">
        <v>171</v>
      </c>
      <c r="E286" s="42" t="s">
        <v>641</v>
      </c>
      <c r="F286" s="42" t="s">
        <v>133</v>
      </c>
      <c r="G286" s="42" t="s">
        <v>139</v>
      </c>
      <c r="H286" s="42" t="s">
        <v>167</v>
      </c>
      <c r="I286" s="42" t="s">
        <v>356</v>
      </c>
      <c r="J286" s="42">
        <v>17</v>
      </c>
      <c r="K286" s="42" t="s">
        <v>640</v>
      </c>
      <c r="L286" s="42">
        <v>6</v>
      </c>
      <c r="M286" s="42">
        <v>6.3005000000000004</v>
      </c>
      <c r="O286" s="42">
        <v>2.0711500000000003</v>
      </c>
      <c r="P286" s="42">
        <v>6</v>
      </c>
      <c r="Q286" s="42">
        <v>6.5490399999999998</v>
      </c>
      <c r="S286" s="42">
        <v>0.66276000000000046</v>
      </c>
      <c r="T286" s="42">
        <v>6</v>
      </c>
      <c r="U286" s="42" t="s">
        <v>642</v>
      </c>
      <c r="V286" s="42">
        <v>1E-3</v>
      </c>
      <c r="W286" s="42">
        <f t="shared" si="51"/>
        <v>9.9999999999999995E-7</v>
      </c>
      <c r="X286" s="42" t="str">
        <f t="shared" si="47"/>
        <v>Low</v>
      </c>
      <c r="Y286" s="42" t="s">
        <v>643</v>
      </c>
      <c r="Z286" s="42">
        <f t="shared" si="50"/>
        <v>3.8689478692371035E-2</v>
      </c>
      <c r="AA286" s="42">
        <f t="shared" si="45"/>
        <v>1.8010336376792863E-2</v>
      </c>
      <c r="AB286" s="42">
        <f t="shared" si="46"/>
        <v>1.7068919969857824E-3</v>
      </c>
      <c r="AC286" s="42">
        <f t="shared" si="48"/>
        <v>1.9717228373778643E-2</v>
      </c>
      <c r="AD286" s="42" t="s">
        <v>639</v>
      </c>
      <c r="AF286" s="42" t="s">
        <v>188</v>
      </c>
    </row>
    <row r="287" spans="1:32" s="42" customFormat="1" ht="15.75" x14ac:dyDescent="0.2">
      <c r="A287" s="42">
        <v>286</v>
      </c>
      <c r="B287" s="42">
        <v>17</v>
      </c>
      <c r="C287" s="42" t="s">
        <v>638</v>
      </c>
      <c r="D287" s="42" t="s">
        <v>171</v>
      </c>
      <c r="E287" s="42" t="s">
        <v>641</v>
      </c>
      <c r="F287" s="42" t="s">
        <v>509</v>
      </c>
      <c r="G287" s="42" t="s">
        <v>139</v>
      </c>
      <c r="H287" s="42" t="s">
        <v>167</v>
      </c>
      <c r="I287" s="42" t="s">
        <v>356</v>
      </c>
      <c r="J287" s="42">
        <v>17</v>
      </c>
      <c r="K287" s="42" t="s">
        <v>644</v>
      </c>
      <c r="L287" s="42">
        <v>6</v>
      </c>
      <c r="M287" s="42">
        <v>11.809760000000001</v>
      </c>
      <c r="O287" s="42">
        <v>1.3669699999999985</v>
      </c>
      <c r="P287" s="42">
        <v>6</v>
      </c>
      <c r="Q287" s="42">
        <v>6.5490399999999998</v>
      </c>
      <c r="S287" s="42">
        <v>0.66276000000000046</v>
      </c>
      <c r="T287" s="42">
        <v>6</v>
      </c>
      <c r="U287" s="42" t="s">
        <v>642</v>
      </c>
      <c r="V287" s="42">
        <v>1E-3</v>
      </c>
      <c r="W287" s="42">
        <f t="shared" si="51"/>
        <v>9.9999999999999995E-7</v>
      </c>
      <c r="X287" s="42" t="str">
        <f t="shared" si="47"/>
        <v>Low</v>
      </c>
      <c r="Y287" s="42" t="s">
        <v>645</v>
      </c>
      <c r="Z287" s="42">
        <f t="shared" si="50"/>
        <v>-0.58960783422157992</v>
      </c>
      <c r="AA287" s="42">
        <f t="shared" si="45"/>
        <v>2.2329786608421011E-3</v>
      </c>
      <c r="AB287" s="42">
        <f t="shared" si="46"/>
        <v>1.7068919969857824E-3</v>
      </c>
      <c r="AC287" s="42">
        <f t="shared" si="48"/>
        <v>3.939870657827884E-3</v>
      </c>
      <c r="AD287" s="42" t="s">
        <v>639</v>
      </c>
      <c r="AF287" s="42" t="s">
        <v>188</v>
      </c>
    </row>
    <row r="288" spans="1:32" s="42" customFormat="1" ht="15.75" x14ac:dyDescent="0.2">
      <c r="A288" s="42">
        <v>287</v>
      </c>
      <c r="B288" s="42">
        <v>17</v>
      </c>
      <c r="C288" s="42" t="s">
        <v>638</v>
      </c>
      <c r="D288" s="42" t="s">
        <v>171</v>
      </c>
      <c r="E288" s="42" t="s">
        <v>641</v>
      </c>
      <c r="F288" s="42" t="s">
        <v>509</v>
      </c>
      <c r="G288" s="42" t="s">
        <v>139</v>
      </c>
      <c r="H288" s="42" t="s">
        <v>167</v>
      </c>
      <c r="I288" s="42" t="s">
        <v>356</v>
      </c>
      <c r="J288" s="42">
        <v>17</v>
      </c>
      <c r="K288" s="42" t="s">
        <v>646</v>
      </c>
      <c r="L288" s="42">
        <v>6</v>
      </c>
      <c r="M288" s="42">
        <v>9.7386099999999995</v>
      </c>
      <c r="O288" s="42">
        <v>1.6155000000000008</v>
      </c>
      <c r="P288" s="42">
        <v>6</v>
      </c>
      <c r="Q288" s="42">
        <v>6.5490399999999998</v>
      </c>
      <c r="S288" s="42">
        <v>0.66276000000000046</v>
      </c>
      <c r="T288" s="42">
        <v>6</v>
      </c>
      <c r="U288" s="42" t="s">
        <v>642</v>
      </c>
      <c r="V288" s="42">
        <v>1E-3</v>
      </c>
      <c r="W288" s="42">
        <f t="shared" si="51"/>
        <v>9.9999999999999995E-7</v>
      </c>
      <c r="X288" s="42" t="str">
        <f t="shared" si="47"/>
        <v>Low</v>
      </c>
      <c r="Y288" s="42" t="s">
        <v>645</v>
      </c>
      <c r="Z288" s="42">
        <f t="shared" si="50"/>
        <v>-0.39677992297807418</v>
      </c>
      <c r="AA288" s="42">
        <f t="shared" si="45"/>
        <v>4.5863661786845651E-3</v>
      </c>
      <c r="AB288" s="42">
        <f t="shared" si="46"/>
        <v>1.7068919969857824E-3</v>
      </c>
      <c r="AC288" s="42">
        <f t="shared" si="48"/>
        <v>6.2932581756703476E-3</v>
      </c>
      <c r="AD288" s="42" t="s">
        <v>639</v>
      </c>
      <c r="AF288" s="42" t="s">
        <v>188</v>
      </c>
    </row>
    <row r="289" spans="1:32" s="42" customFormat="1" ht="15.75" x14ac:dyDescent="0.2">
      <c r="A289" s="42">
        <v>288</v>
      </c>
      <c r="B289" s="42">
        <v>17</v>
      </c>
      <c r="C289" s="42" t="s">
        <v>638</v>
      </c>
      <c r="D289" s="42" t="s">
        <v>171</v>
      </c>
      <c r="E289" s="42" t="s">
        <v>641</v>
      </c>
      <c r="F289" s="42" t="s">
        <v>133</v>
      </c>
      <c r="G289" s="42" t="s">
        <v>141</v>
      </c>
      <c r="H289" s="42" t="s">
        <v>167</v>
      </c>
      <c r="I289" s="42" t="s">
        <v>356</v>
      </c>
      <c r="J289" s="42">
        <v>17</v>
      </c>
      <c r="K289" s="42" t="s">
        <v>640</v>
      </c>
      <c r="L289" s="42">
        <v>6</v>
      </c>
      <c r="M289" s="42">
        <v>0.63915</v>
      </c>
      <c r="O289" s="42">
        <v>4.5340000000000047E-2</v>
      </c>
      <c r="P289" s="42">
        <v>6</v>
      </c>
      <c r="Q289" s="42">
        <v>0.58048</v>
      </c>
      <c r="S289" s="42">
        <v>0.10401000000000005</v>
      </c>
      <c r="T289" s="42">
        <v>6</v>
      </c>
      <c r="U289" s="42" t="s">
        <v>642</v>
      </c>
      <c r="V289" s="42">
        <v>1E-3</v>
      </c>
      <c r="W289" s="42">
        <f t="shared" si="51"/>
        <v>9.9999999999999995E-7</v>
      </c>
      <c r="X289" s="42" t="str">
        <f t="shared" si="47"/>
        <v>Low</v>
      </c>
      <c r="Y289" s="42" t="s">
        <v>643</v>
      </c>
      <c r="Z289" s="42">
        <f t="shared" si="49"/>
        <v>9.6283821127313596E-2</v>
      </c>
      <c r="AA289" s="42">
        <f t="shared" si="45"/>
        <v>8.3869913419077756E-4</v>
      </c>
      <c r="AB289" s="42">
        <f t="shared" si="46"/>
        <v>5.3508702514966184E-3</v>
      </c>
      <c r="AC289" s="42">
        <f t="shared" si="48"/>
        <v>6.1895693856873959E-3</v>
      </c>
      <c r="AD289" s="42" t="s">
        <v>639</v>
      </c>
      <c r="AF289" s="42" t="s">
        <v>647</v>
      </c>
    </row>
    <row r="290" spans="1:32" s="42" customFormat="1" ht="15.75" x14ac:dyDescent="0.2">
      <c r="A290" s="42">
        <v>289</v>
      </c>
      <c r="B290" s="42">
        <v>17</v>
      </c>
      <c r="C290" s="42" t="s">
        <v>638</v>
      </c>
      <c r="D290" s="42" t="s">
        <v>171</v>
      </c>
      <c r="E290" s="42" t="s">
        <v>641</v>
      </c>
      <c r="F290" s="42" t="s">
        <v>509</v>
      </c>
      <c r="G290" s="42" t="s">
        <v>141</v>
      </c>
      <c r="H290" s="42" t="s">
        <v>167</v>
      </c>
      <c r="I290" s="42" t="s">
        <v>356</v>
      </c>
      <c r="J290" s="42">
        <v>17</v>
      </c>
      <c r="K290" s="42" t="s">
        <v>644</v>
      </c>
      <c r="L290" s="42">
        <v>6</v>
      </c>
      <c r="M290" s="42">
        <v>0.23499999999999999</v>
      </c>
      <c r="O290" s="42">
        <v>0.11734</v>
      </c>
      <c r="P290" s="42">
        <v>6</v>
      </c>
      <c r="Q290" s="42">
        <v>0.58048</v>
      </c>
      <c r="S290" s="42">
        <v>0.10401000000000005</v>
      </c>
      <c r="T290" s="42">
        <v>6</v>
      </c>
      <c r="U290" s="42" t="s">
        <v>642</v>
      </c>
      <c r="V290" s="42">
        <v>1E-3</v>
      </c>
      <c r="W290" s="42">
        <f t="shared" si="51"/>
        <v>9.9999999999999995E-7</v>
      </c>
      <c r="X290" s="42" t="str">
        <f t="shared" si="47"/>
        <v>Low</v>
      </c>
      <c r="Y290" s="42" t="s">
        <v>645</v>
      </c>
      <c r="Z290" s="42">
        <f t="shared" si="49"/>
        <v>-0.90426983334255806</v>
      </c>
      <c r="AA290" s="42">
        <f t="shared" si="45"/>
        <v>4.155326874905689E-2</v>
      </c>
      <c r="AB290" s="42">
        <f t="shared" si="46"/>
        <v>5.3508702514966184E-3</v>
      </c>
      <c r="AC290" s="42">
        <f t="shared" si="48"/>
        <v>4.6904139000553506E-2</v>
      </c>
      <c r="AD290" s="42" t="s">
        <v>639</v>
      </c>
      <c r="AF290" s="42" t="s">
        <v>647</v>
      </c>
    </row>
    <row r="291" spans="1:32" s="42" customFormat="1" ht="15.75" x14ac:dyDescent="0.2">
      <c r="A291" s="42">
        <v>290</v>
      </c>
      <c r="B291" s="42">
        <v>17</v>
      </c>
      <c r="C291" s="42" t="s">
        <v>638</v>
      </c>
      <c r="D291" s="42" t="s">
        <v>171</v>
      </c>
      <c r="E291" s="42" t="s">
        <v>641</v>
      </c>
      <c r="F291" s="42" t="s">
        <v>509</v>
      </c>
      <c r="G291" s="42" t="s">
        <v>141</v>
      </c>
      <c r="H291" s="42" t="s">
        <v>167</v>
      </c>
      <c r="I291" s="42" t="s">
        <v>356</v>
      </c>
      <c r="J291" s="42">
        <v>17</v>
      </c>
      <c r="K291" s="42" t="s">
        <v>646</v>
      </c>
      <c r="L291" s="42">
        <v>6</v>
      </c>
      <c r="M291" s="42">
        <v>1.12717</v>
      </c>
      <c r="O291" s="42">
        <v>0.10132999999999992</v>
      </c>
      <c r="P291" s="42">
        <v>6</v>
      </c>
      <c r="Q291" s="42">
        <v>0.58048</v>
      </c>
      <c r="S291" s="42">
        <v>0.10401000000000005</v>
      </c>
      <c r="T291" s="42">
        <v>6</v>
      </c>
      <c r="U291" s="42" t="s">
        <v>642</v>
      </c>
      <c r="V291" s="42">
        <v>1E-3</v>
      </c>
      <c r="W291" s="42">
        <f t="shared" si="51"/>
        <v>9.9999999999999995E-7</v>
      </c>
      <c r="X291" s="42" t="str">
        <f t="shared" si="47"/>
        <v>Low</v>
      </c>
      <c r="Y291" s="42" t="s">
        <v>645</v>
      </c>
      <c r="Z291" s="42">
        <f t="shared" si="49"/>
        <v>0.66360999812328003</v>
      </c>
      <c r="AA291" s="42">
        <f t="shared" si="45"/>
        <v>1.3469329965339651E-3</v>
      </c>
      <c r="AB291" s="42">
        <f t="shared" si="46"/>
        <v>5.3508702514966184E-3</v>
      </c>
      <c r="AC291" s="42">
        <f t="shared" si="48"/>
        <v>6.6978032480305835E-3</v>
      </c>
      <c r="AD291" s="42" t="s">
        <v>639</v>
      </c>
      <c r="AF291" s="42" t="s">
        <v>647</v>
      </c>
    </row>
    <row r="292" spans="1:32" s="42" customFormat="1" ht="15.75" x14ac:dyDescent="0.2">
      <c r="A292" s="42">
        <v>291</v>
      </c>
      <c r="B292" s="42">
        <v>17</v>
      </c>
      <c r="C292" s="42" t="s">
        <v>638</v>
      </c>
      <c r="D292" s="42" t="s">
        <v>171</v>
      </c>
      <c r="E292" s="42" t="s">
        <v>641</v>
      </c>
      <c r="F292" s="42" t="s">
        <v>133</v>
      </c>
      <c r="G292" s="42" t="s">
        <v>141</v>
      </c>
      <c r="H292" s="42" t="s">
        <v>167</v>
      </c>
      <c r="I292" s="42" t="s">
        <v>356</v>
      </c>
      <c r="J292" s="42">
        <v>17</v>
      </c>
      <c r="K292" s="42" t="s">
        <v>640</v>
      </c>
      <c r="L292" s="42">
        <v>6</v>
      </c>
      <c r="M292" s="42">
        <v>0.19914000000000001</v>
      </c>
      <c r="O292" s="42">
        <v>5.8669999999999972E-2</v>
      </c>
      <c r="P292" s="42">
        <v>6</v>
      </c>
      <c r="Q292" s="42">
        <v>0.16980000000000001</v>
      </c>
      <c r="S292" s="42">
        <v>1.3339999999999991E-2</v>
      </c>
      <c r="T292" s="42">
        <v>6</v>
      </c>
      <c r="U292" s="42" t="s">
        <v>642</v>
      </c>
      <c r="V292" s="42">
        <v>1E-3</v>
      </c>
      <c r="W292" s="42">
        <f t="shared" si="51"/>
        <v>9.9999999999999995E-7</v>
      </c>
      <c r="X292" s="42" t="str">
        <f t="shared" si="47"/>
        <v>Low</v>
      </c>
      <c r="Y292" s="42" t="s">
        <v>643</v>
      </c>
      <c r="Z292" s="42">
        <f t="shared" si="49"/>
        <v>0.15938682108269134</v>
      </c>
      <c r="AA292" s="42">
        <f t="shared" si="45"/>
        <v>1.4466514959456375E-2</v>
      </c>
      <c r="AB292" s="42">
        <f t="shared" si="46"/>
        <v>1.0286912291557109E-3</v>
      </c>
      <c r="AC292" s="42">
        <f t="shared" si="48"/>
        <v>1.5495206188612085E-2</v>
      </c>
      <c r="AD292" s="42" t="s">
        <v>639</v>
      </c>
      <c r="AF292" s="42" t="s">
        <v>647</v>
      </c>
    </row>
    <row r="293" spans="1:32" s="42" customFormat="1" ht="15.75" x14ac:dyDescent="0.2">
      <c r="A293" s="42">
        <v>292</v>
      </c>
      <c r="B293" s="42">
        <v>17</v>
      </c>
      <c r="C293" s="42" t="s">
        <v>638</v>
      </c>
      <c r="D293" s="42" t="s">
        <v>171</v>
      </c>
      <c r="E293" s="42" t="s">
        <v>641</v>
      </c>
      <c r="F293" s="42" t="s">
        <v>509</v>
      </c>
      <c r="G293" s="42" t="s">
        <v>141</v>
      </c>
      <c r="H293" s="42" t="s">
        <v>167</v>
      </c>
      <c r="I293" s="42" t="s">
        <v>356</v>
      </c>
      <c r="J293" s="42">
        <v>17</v>
      </c>
      <c r="K293" s="42" t="s">
        <v>644</v>
      </c>
      <c r="L293" s="42">
        <v>6</v>
      </c>
      <c r="M293" s="42">
        <v>0.30047000000000001</v>
      </c>
      <c r="O293" s="42">
        <v>1.5999999999999959E-2</v>
      </c>
      <c r="P293" s="42">
        <v>6</v>
      </c>
      <c r="Q293" s="42">
        <v>0.16980000000000001</v>
      </c>
      <c r="S293" s="42">
        <v>1.3339999999999991E-2</v>
      </c>
      <c r="T293" s="42">
        <v>6</v>
      </c>
      <c r="U293" s="42" t="s">
        <v>642</v>
      </c>
      <c r="V293" s="42">
        <v>1E-3</v>
      </c>
      <c r="W293" s="42">
        <f t="shared" si="51"/>
        <v>9.9999999999999995E-7</v>
      </c>
      <c r="X293" s="42" t="str">
        <f t="shared" si="47"/>
        <v>Low</v>
      </c>
      <c r="Y293" s="42" t="s">
        <v>645</v>
      </c>
      <c r="Z293" s="42">
        <f t="shared" si="49"/>
        <v>0.57072664150365982</v>
      </c>
      <c r="AA293" s="42">
        <f t="shared" si="45"/>
        <v>4.7259212546317016E-4</v>
      </c>
      <c r="AB293" s="42">
        <f t="shared" si="46"/>
        <v>1.0286912291557109E-3</v>
      </c>
      <c r="AC293" s="42">
        <f t="shared" si="48"/>
        <v>1.5012833546188811E-3</v>
      </c>
      <c r="AD293" s="42" t="s">
        <v>639</v>
      </c>
      <c r="AF293" s="42" t="s">
        <v>647</v>
      </c>
    </row>
    <row r="294" spans="1:32" s="42" customFormat="1" ht="15.75" x14ac:dyDescent="0.2">
      <c r="A294" s="42">
        <v>293</v>
      </c>
      <c r="B294" s="42">
        <v>17</v>
      </c>
      <c r="C294" s="42" t="s">
        <v>638</v>
      </c>
      <c r="D294" s="42" t="s">
        <v>171</v>
      </c>
      <c r="E294" s="42" t="s">
        <v>641</v>
      </c>
      <c r="F294" s="42" t="s">
        <v>509</v>
      </c>
      <c r="G294" s="42" t="s">
        <v>141</v>
      </c>
      <c r="H294" s="42" t="s">
        <v>167</v>
      </c>
      <c r="I294" s="42" t="s">
        <v>356</v>
      </c>
      <c r="J294" s="42">
        <v>17</v>
      </c>
      <c r="K294" s="42" t="s">
        <v>646</v>
      </c>
      <c r="L294" s="42">
        <v>6</v>
      </c>
      <c r="M294" s="42">
        <v>0.27113999999999999</v>
      </c>
      <c r="O294" s="42">
        <v>4.5329999999999981E-2</v>
      </c>
      <c r="P294" s="42">
        <v>6</v>
      </c>
      <c r="Q294" s="42">
        <v>0.16980000000000001</v>
      </c>
      <c r="S294" s="42">
        <v>1.3339999999999991E-2</v>
      </c>
      <c r="T294" s="42">
        <v>6</v>
      </c>
      <c r="U294" s="42" t="s">
        <v>642</v>
      </c>
      <c r="V294" s="42">
        <v>1E-3</v>
      </c>
      <c r="W294" s="42">
        <f t="shared" si="51"/>
        <v>9.9999999999999995E-7</v>
      </c>
      <c r="X294" s="42" t="str">
        <f t="shared" si="47"/>
        <v>Low</v>
      </c>
      <c r="Y294" s="42" t="s">
        <v>645</v>
      </c>
      <c r="Z294" s="42">
        <f t="shared" si="49"/>
        <v>0.46801401877399634</v>
      </c>
      <c r="AA294" s="42">
        <f t="shared" si="45"/>
        <v>4.6583595317994031E-3</v>
      </c>
      <c r="AB294" s="42">
        <f t="shared" si="46"/>
        <v>1.0286912291557109E-3</v>
      </c>
      <c r="AC294" s="42">
        <f t="shared" si="48"/>
        <v>5.6870507609551139E-3</v>
      </c>
      <c r="AD294" s="42" t="s">
        <v>639</v>
      </c>
      <c r="AF294" s="42" t="s">
        <v>647</v>
      </c>
    </row>
    <row r="295" spans="1:32" s="42" customFormat="1" ht="15.75" x14ac:dyDescent="0.2">
      <c r="A295" s="42">
        <v>294</v>
      </c>
      <c r="B295" s="42">
        <v>17</v>
      </c>
      <c r="C295" s="42" t="s">
        <v>638</v>
      </c>
      <c r="D295" s="42" t="s">
        <v>171</v>
      </c>
      <c r="E295" s="42" t="s">
        <v>641</v>
      </c>
      <c r="F295" s="42" t="s">
        <v>133</v>
      </c>
      <c r="G295" s="42" t="s">
        <v>139</v>
      </c>
      <c r="H295" s="42" t="s">
        <v>167</v>
      </c>
      <c r="I295" s="42" t="s">
        <v>356</v>
      </c>
      <c r="J295" s="42">
        <v>17</v>
      </c>
      <c r="K295" s="42" t="s">
        <v>640</v>
      </c>
      <c r="L295" s="42">
        <v>6</v>
      </c>
      <c r="M295" s="42">
        <v>0.99382999999999999</v>
      </c>
      <c r="O295" s="42">
        <v>0.10400000000000009</v>
      </c>
      <c r="P295" s="42">
        <v>6</v>
      </c>
      <c r="Q295" s="42">
        <v>1.1405000000000001</v>
      </c>
      <c r="S295" s="42">
        <v>0.13334000000000001</v>
      </c>
      <c r="T295" s="42">
        <v>6</v>
      </c>
      <c r="U295" s="42" t="s">
        <v>642</v>
      </c>
      <c r="V295" s="42">
        <v>1E-3</v>
      </c>
      <c r="W295" s="42">
        <f t="shared" si="51"/>
        <v>9.9999999999999995E-7</v>
      </c>
      <c r="X295" s="42" t="str">
        <f t="shared" si="47"/>
        <v>Low</v>
      </c>
      <c r="Y295" s="42" t="s">
        <v>643</v>
      </c>
      <c r="Z295" s="42">
        <f t="shared" si="49"/>
        <v>-0.13765587585145131</v>
      </c>
      <c r="AA295" s="42">
        <f t="shared" si="45"/>
        <v>1.8251191567827008E-3</v>
      </c>
      <c r="AB295" s="42">
        <f t="shared" si="46"/>
        <v>2.2781329836350237E-3</v>
      </c>
      <c r="AC295" s="42">
        <f t="shared" si="48"/>
        <v>4.1032521404177243E-3</v>
      </c>
      <c r="AD295" s="42" t="s">
        <v>639</v>
      </c>
      <c r="AF295" s="42" t="s">
        <v>647</v>
      </c>
    </row>
    <row r="296" spans="1:32" s="42" customFormat="1" ht="15.75" x14ac:dyDescent="0.2">
      <c r="A296" s="42">
        <v>295</v>
      </c>
      <c r="B296" s="42">
        <v>17</v>
      </c>
      <c r="C296" s="42" t="s">
        <v>638</v>
      </c>
      <c r="D296" s="42" t="s">
        <v>171</v>
      </c>
      <c r="E296" s="42" t="s">
        <v>641</v>
      </c>
      <c r="F296" s="42" t="s">
        <v>509</v>
      </c>
      <c r="G296" s="42" t="s">
        <v>139</v>
      </c>
      <c r="H296" s="42" t="s">
        <v>167</v>
      </c>
      <c r="I296" s="42" t="s">
        <v>356</v>
      </c>
      <c r="J296" s="42">
        <v>17</v>
      </c>
      <c r="K296" s="42" t="s">
        <v>644</v>
      </c>
      <c r="L296" s="42">
        <v>6</v>
      </c>
      <c r="M296" s="42">
        <v>1.71652</v>
      </c>
      <c r="O296" s="42">
        <v>0.22133999999999987</v>
      </c>
      <c r="P296" s="42">
        <v>6</v>
      </c>
      <c r="Q296" s="42">
        <v>1.1405000000000001</v>
      </c>
      <c r="S296" s="42">
        <v>0.13334000000000001</v>
      </c>
      <c r="T296" s="42">
        <v>6</v>
      </c>
      <c r="U296" s="42" t="s">
        <v>642</v>
      </c>
      <c r="V296" s="42">
        <v>1E-3</v>
      </c>
      <c r="W296" s="42">
        <f t="shared" si="51"/>
        <v>9.9999999999999995E-7</v>
      </c>
      <c r="X296" s="42" t="str">
        <f t="shared" si="47"/>
        <v>Low</v>
      </c>
      <c r="Y296" s="42" t="s">
        <v>645</v>
      </c>
      <c r="Z296" s="42">
        <f t="shared" si="49"/>
        <v>0.40883222272208625</v>
      </c>
      <c r="AA296" s="42">
        <f t="shared" si="45"/>
        <v>2.7712188529487604E-3</v>
      </c>
      <c r="AB296" s="42">
        <f t="shared" si="46"/>
        <v>2.2781329836350237E-3</v>
      </c>
      <c r="AC296" s="42">
        <f t="shared" si="48"/>
        <v>5.0493518365837837E-3</v>
      </c>
      <c r="AD296" s="42" t="s">
        <v>639</v>
      </c>
      <c r="AF296" s="42" t="s">
        <v>647</v>
      </c>
    </row>
    <row r="297" spans="1:32" s="42" customFormat="1" ht="15.75" x14ac:dyDescent="0.2">
      <c r="A297" s="42">
        <v>296</v>
      </c>
      <c r="B297" s="42">
        <v>17</v>
      </c>
      <c r="C297" s="42" t="s">
        <v>638</v>
      </c>
      <c r="D297" s="42" t="s">
        <v>171</v>
      </c>
      <c r="E297" s="42" t="s">
        <v>641</v>
      </c>
      <c r="F297" s="42" t="s">
        <v>509</v>
      </c>
      <c r="G297" s="42" t="s">
        <v>139</v>
      </c>
      <c r="H297" s="42" t="s">
        <v>167</v>
      </c>
      <c r="I297" s="42" t="s">
        <v>356</v>
      </c>
      <c r="J297" s="42">
        <v>17</v>
      </c>
      <c r="K297" s="42" t="s">
        <v>646</v>
      </c>
      <c r="L297" s="42">
        <v>6</v>
      </c>
      <c r="M297" s="42">
        <v>2.21787</v>
      </c>
      <c r="O297" s="42">
        <v>0.11734</v>
      </c>
      <c r="P297" s="42">
        <v>6</v>
      </c>
      <c r="Q297" s="42">
        <v>1.1405000000000001</v>
      </c>
      <c r="S297" s="42">
        <v>0.13334000000000001</v>
      </c>
      <c r="T297" s="42">
        <v>6</v>
      </c>
      <c r="U297" s="42" t="s">
        <v>642</v>
      </c>
      <c r="V297" s="42">
        <v>1E-3</v>
      </c>
      <c r="W297" s="42">
        <f t="shared" si="51"/>
        <v>9.9999999999999995E-7</v>
      </c>
      <c r="X297" s="42" t="str">
        <f t="shared" si="47"/>
        <v>Low</v>
      </c>
      <c r="Y297" s="42" t="s">
        <v>645</v>
      </c>
      <c r="Z297" s="42">
        <f t="shared" si="49"/>
        <v>0.66508051310656957</v>
      </c>
      <c r="AA297" s="42">
        <f t="shared" si="45"/>
        <v>4.6651836449887143E-4</v>
      </c>
      <c r="AB297" s="42">
        <f t="shared" si="46"/>
        <v>2.2781329836350237E-3</v>
      </c>
      <c r="AC297" s="42">
        <f t="shared" si="48"/>
        <v>2.7446513481338953E-3</v>
      </c>
      <c r="AD297" s="42" t="s">
        <v>639</v>
      </c>
      <c r="AF297" s="42" t="s">
        <v>647</v>
      </c>
    </row>
    <row r="298" spans="1:32" s="42" customFormat="1" ht="15.75" x14ac:dyDescent="0.2">
      <c r="A298" s="42">
        <v>297</v>
      </c>
      <c r="B298" s="42">
        <v>17</v>
      </c>
      <c r="C298" s="42" t="s">
        <v>638</v>
      </c>
      <c r="D298" s="42" t="s">
        <v>171</v>
      </c>
      <c r="E298" s="42" t="s">
        <v>641</v>
      </c>
      <c r="F298" s="42" t="s">
        <v>133</v>
      </c>
      <c r="G298" s="42" t="s">
        <v>139</v>
      </c>
      <c r="H298" s="42" t="s">
        <v>167</v>
      </c>
      <c r="I298" s="42" t="s">
        <v>356</v>
      </c>
      <c r="J298" s="42">
        <v>17</v>
      </c>
      <c r="K298" s="42" t="s">
        <v>640</v>
      </c>
      <c r="L298" s="42">
        <v>6</v>
      </c>
      <c r="M298" s="42">
        <v>0.18314</v>
      </c>
      <c r="O298" s="42">
        <v>2.9329999999999995E-2</v>
      </c>
      <c r="P298" s="42">
        <v>6</v>
      </c>
      <c r="Q298" s="42">
        <v>0.10847</v>
      </c>
      <c r="S298" s="42">
        <v>9.0670000000000014E-2</v>
      </c>
      <c r="T298" s="42">
        <v>6</v>
      </c>
      <c r="U298" s="42" t="s">
        <v>642</v>
      </c>
      <c r="V298" s="42">
        <v>1E-3</v>
      </c>
      <c r="W298" s="42">
        <f t="shared" si="51"/>
        <v>9.9999999999999995E-7</v>
      </c>
      <c r="X298" s="42" t="str">
        <f t="shared" si="47"/>
        <v>Low</v>
      </c>
      <c r="Y298" s="42" t="s">
        <v>643</v>
      </c>
      <c r="Z298" s="42">
        <f t="shared" si="49"/>
        <v>0.52377725062745983</v>
      </c>
      <c r="AA298" s="42">
        <f t="shared" si="45"/>
        <v>4.2747080188570343E-3</v>
      </c>
      <c r="AB298" s="42">
        <f t="shared" si="46"/>
        <v>0.11645461414730519</v>
      </c>
      <c r="AC298" s="42">
        <f t="shared" si="48"/>
        <v>0.12072932216616222</v>
      </c>
      <c r="AD298" s="42" t="s">
        <v>639</v>
      </c>
      <c r="AF298" s="42" t="s">
        <v>647</v>
      </c>
    </row>
    <row r="299" spans="1:32" s="42" customFormat="1" ht="15.75" x14ac:dyDescent="0.2">
      <c r="A299" s="42">
        <v>298</v>
      </c>
      <c r="B299" s="42">
        <v>17</v>
      </c>
      <c r="C299" s="42" t="s">
        <v>638</v>
      </c>
      <c r="D299" s="42" t="s">
        <v>171</v>
      </c>
      <c r="E299" s="42" t="s">
        <v>641</v>
      </c>
      <c r="F299" s="42" t="s">
        <v>509</v>
      </c>
      <c r="G299" s="42" t="s">
        <v>139</v>
      </c>
      <c r="H299" s="42" t="s">
        <v>167</v>
      </c>
      <c r="I299" s="42" t="s">
        <v>356</v>
      </c>
      <c r="J299" s="42">
        <v>17</v>
      </c>
      <c r="K299" s="42" t="s">
        <v>644</v>
      </c>
      <c r="L299" s="42">
        <v>6</v>
      </c>
      <c r="M299" s="42">
        <v>0.25780999999999998</v>
      </c>
      <c r="O299" s="42">
        <v>4.2660000000000031E-2</v>
      </c>
      <c r="P299" s="42">
        <v>6</v>
      </c>
      <c r="Q299" s="42">
        <v>0.10847</v>
      </c>
      <c r="S299" s="42">
        <v>9.0670000000000014E-2</v>
      </c>
      <c r="T299" s="42">
        <v>6</v>
      </c>
      <c r="U299" s="42" t="s">
        <v>642</v>
      </c>
      <c r="V299" s="42">
        <v>1E-3</v>
      </c>
      <c r="W299" s="42">
        <f t="shared" si="51"/>
        <v>9.9999999999999995E-7</v>
      </c>
      <c r="X299" s="42" t="str">
        <f t="shared" si="47"/>
        <v>Low</v>
      </c>
      <c r="Y299" s="42" t="s">
        <v>645</v>
      </c>
      <c r="Z299" s="42">
        <f t="shared" si="49"/>
        <v>0.86574924246016105</v>
      </c>
      <c r="AA299" s="42">
        <f t="shared" si="45"/>
        <v>4.5634251767423745E-3</v>
      </c>
      <c r="AB299" s="42">
        <f t="shared" si="46"/>
        <v>0.11645461414730519</v>
      </c>
      <c r="AC299" s="42">
        <f t="shared" si="48"/>
        <v>0.12101803932404757</v>
      </c>
      <c r="AD299" s="42" t="s">
        <v>639</v>
      </c>
      <c r="AF299" s="42" t="s">
        <v>647</v>
      </c>
    </row>
    <row r="300" spans="1:32" s="42" customFormat="1" ht="15.75" x14ac:dyDescent="0.2">
      <c r="A300" s="42">
        <v>299</v>
      </c>
      <c r="B300" s="42">
        <v>17</v>
      </c>
      <c r="C300" s="42" t="s">
        <v>638</v>
      </c>
      <c r="D300" s="42" t="s">
        <v>171</v>
      </c>
      <c r="E300" s="42" t="s">
        <v>641</v>
      </c>
      <c r="F300" s="42" t="s">
        <v>509</v>
      </c>
      <c r="G300" s="42" t="s">
        <v>139</v>
      </c>
      <c r="H300" s="42" t="s">
        <v>167</v>
      </c>
      <c r="I300" s="42" t="s">
        <v>356</v>
      </c>
      <c r="J300" s="42">
        <v>17</v>
      </c>
      <c r="K300" s="42" t="s">
        <v>646</v>
      </c>
      <c r="L300" s="42">
        <v>6</v>
      </c>
      <c r="M300" s="42">
        <v>0.24181</v>
      </c>
      <c r="O300" s="42">
        <v>7.4659999999999976E-2</v>
      </c>
      <c r="P300" s="42">
        <v>6</v>
      </c>
      <c r="Q300" s="42">
        <v>0.10847</v>
      </c>
      <c r="S300" s="42">
        <v>9.0670000000000014E-2</v>
      </c>
      <c r="T300" s="42">
        <v>6</v>
      </c>
      <c r="U300" s="42" t="s">
        <v>642</v>
      </c>
      <c r="V300" s="42">
        <v>1E-3</v>
      </c>
      <c r="W300" s="42">
        <f t="shared" si="51"/>
        <v>9.9999999999999995E-7</v>
      </c>
      <c r="X300" s="42" t="str">
        <f t="shared" si="47"/>
        <v>Low</v>
      </c>
      <c r="Y300" s="42" t="s">
        <v>645</v>
      </c>
      <c r="Z300" s="42">
        <f t="shared" si="49"/>
        <v>0.80167865676637928</v>
      </c>
      <c r="AA300" s="42">
        <f t="shared" si="45"/>
        <v>1.5888255191723322E-2</v>
      </c>
      <c r="AB300" s="42">
        <f t="shared" si="46"/>
        <v>0.11645461414730519</v>
      </c>
      <c r="AC300" s="42">
        <f t="shared" si="48"/>
        <v>0.1323428693390285</v>
      </c>
      <c r="AD300" s="42" t="s">
        <v>639</v>
      </c>
      <c r="AF300" s="42" t="s">
        <v>647</v>
      </c>
    </row>
    <row r="301" spans="1:32" s="42" customFormat="1" ht="15.75" x14ac:dyDescent="0.2">
      <c r="A301" s="42">
        <v>300</v>
      </c>
      <c r="B301" s="42">
        <v>17</v>
      </c>
      <c r="C301" s="42" t="s">
        <v>638</v>
      </c>
      <c r="D301" s="42" t="s">
        <v>171</v>
      </c>
      <c r="E301" s="42" t="s">
        <v>641</v>
      </c>
      <c r="F301" s="42" t="s">
        <v>133</v>
      </c>
      <c r="G301" s="42" t="s">
        <v>141</v>
      </c>
      <c r="H301" s="42" t="s">
        <v>167</v>
      </c>
      <c r="I301" s="42" t="s">
        <v>356</v>
      </c>
      <c r="J301" s="42">
        <v>17</v>
      </c>
      <c r="K301" s="42" t="s">
        <v>640</v>
      </c>
      <c r="L301" s="42">
        <v>6</v>
      </c>
      <c r="M301" s="42">
        <v>13.42333</v>
      </c>
      <c r="O301" s="42">
        <v>1.3728800000000003</v>
      </c>
      <c r="P301" s="42">
        <v>6</v>
      </c>
      <c r="Q301" s="42">
        <v>18.657430000000002</v>
      </c>
      <c r="S301" s="42">
        <v>2.3167399999999994</v>
      </c>
      <c r="T301" s="42">
        <v>6</v>
      </c>
      <c r="U301" s="42" t="s">
        <v>642</v>
      </c>
      <c r="V301" s="42">
        <v>1E-3</v>
      </c>
      <c r="W301" s="42">
        <f t="shared" si="51"/>
        <v>9.9999999999999995E-7</v>
      </c>
      <c r="X301" s="42" t="str">
        <f t="shared" si="47"/>
        <v>Low</v>
      </c>
      <c r="Y301" s="42" t="s">
        <v>643</v>
      </c>
      <c r="Z301" s="42">
        <f t="shared" si="49"/>
        <v>-0.32925022030253676</v>
      </c>
      <c r="AA301" s="42">
        <f t="shared" si="45"/>
        <v>1.7433852694475702E-3</v>
      </c>
      <c r="AB301" s="42">
        <f t="shared" si="46"/>
        <v>2.5698022324033227E-3</v>
      </c>
      <c r="AC301" s="42">
        <f t="shared" si="48"/>
        <v>4.3131875018508929E-3</v>
      </c>
      <c r="AD301" s="42" t="s">
        <v>639</v>
      </c>
      <c r="AF301" s="42" t="s">
        <v>529</v>
      </c>
    </row>
    <row r="302" spans="1:32" s="42" customFormat="1" ht="15.75" x14ac:dyDescent="0.2">
      <c r="A302" s="42">
        <v>301</v>
      </c>
      <c r="B302" s="42">
        <v>17</v>
      </c>
      <c r="C302" s="42" t="s">
        <v>638</v>
      </c>
      <c r="D302" s="42" t="s">
        <v>171</v>
      </c>
      <c r="E302" s="42" t="s">
        <v>641</v>
      </c>
      <c r="F302" s="42" t="s">
        <v>509</v>
      </c>
      <c r="G302" s="42" t="s">
        <v>141</v>
      </c>
      <c r="H302" s="42" t="s">
        <v>167</v>
      </c>
      <c r="I302" s="42" t="s">
        <v>356</v>
      </c>
      <c r="J302" s="42">
        <v>17</v>
      </c>
      <c r="K302" s="42" t="s">
        <v>644</v>
      </c>
      <c r="L302" s="42">
        <v>6</v>
      </c>
      <c r="M302" s="42">
        <v>41.824759999999998</v>
      </c>
      <c r="O302" s="42">
        <v>2.4025400000000019</v>
      </c>
      <c r="P302" s="42">
        <v>6</v>
      </c>
      <c r="Q302" s="42">
        <v>18.657430000000002</v>
      </c>
      <c r="S302" s="42">
        <v>2.3167399999999994</v>
      </c>
      <c r="T302" s="42">
        <v>6</v>
      </c>
      <c r="U302" s="42" t="s">
        <v>642</v>
      </c>
      <c r="V302" s="42">
        <v>1E-3</v>
      </c>
      <c r="W302" s="42">
        <f t="shared" si="51"/>
        <v>9.9999999999999995E-7</v>
      </c>
      <c r="X302" s="42" t="str">
        <f t="shared" si="47"/>
        <v>Low</v>
      </c>
      <c r="Y302" s="42" t="s">
        <v>645</v>
      </c>
      <c r="Z302" s="42">
        <f t="shared" si="49"/>
        <v>0.80724405048761982</v>
      </c>
      <c r="AA302" s="42">
        <f t="shared" si="45"/>
        <v>5.4994985069114295E-4</v>
      </c>
      <c r="AB302" s="42">
        <f t="shared" si="46"/>
        <v>2.5698022324033227E-3</v>
      </c>
      <c r="AC302" s="42">
        <f t="shared" si="48"/>
        <v>3.1197520830944657E-3</v>
      </c>
      <c r="AD302" s="42" t="s">
        <v>639</v>
      </c>
      <c r="AF302" s="42" t="s">
        <v>529</v>
      </c>
    </row>
    <row r="303" spans="1:32" s="42" customFormat="1" ht="15.75" x14ac:dyDescent="0.2">
      <c r="A303" s="42">
        <v>302</v>
      </c>
      <c r="B303" s="42">
        <v>17</v>
      </c>
      <c r="C303" s="42" t="s">
        <v>638</v>
      </c>
      <c r="D303" s="42" t="s">
        <v>171</v>
      </c>
      <c r="E303" s="42" t="s">
        <v>641</v>
      </c>
      <c r="F303" s="42" t="s">
        <v>509</v>
      </c>
      <c r="G303" s="42" t="s">
        <v>141</v>
      </c>
      <c r="H303" s="42" t="s">
        <v>167</v>
      </c>
      <c r="I303" s="42" t="s">
        <v>356</v>
      </c>
      <c r="J303" s="42">
        <v>17</v>
      </c>
      <c r="K303" s="42" t="s">
        <v>646</v>
      </c>
      <c r="L303" s="42">
        <v>6</v>
      </c>
      <c r="M303" s="42">
        <v>50.405250000000002</v>
      </c>
      <c r="O303" s="42">
        <v>4.7192699999999945</v>
      </c>
      <c r="P303" s="42">
        <v>6</v>
      </c>
      <c r="Q303" s="42">
        <v>18.657430000000002</v>
      </c>
      <c r="S303" s="42">
        <v>2.3167399999999994</v>
      </c>
      <c r="T303" s="42">
        <v>6</v>
      </c>
      <c r="U303" s="42" t="s">
        <v>642</v>
      </c>
      <c r="V303" s="42">
        <v>1E-3</v>
      </c>
      <c r="W303" s="42">
        <f t="shared" si="51"/>
        <v>9.9999999999999995E-7</v>
      </c>
      <c r="X303" s="42" t="str">
        <f t="shared" si="47"/>
        <v>Low</v>
      </c>
      <c r="Y303" s="42" t="s">
        <v>645</v>
      </c>
      <c r="Z303" s="42">
        <f t="shared" si="49"/>
        <v>0.99385087814507445</v>
      </c>
      <c r="AA303" s="42">
        <f t="shared" si="45"/>
        <v>1.4609886883769532E-3</v>
      </c>
      <c r="AB303" s="42">
        <f t="shared" si="46"/>
        <v>2.5698022324033227E-3</v>
      </c>
      <c r="AC303" s="42">
        <f t="shared" si="48"/>
        <v>4.0307909207802761E-3</v>
      </c>
      <c r="AD303" s="42" t="s">
        <v>639</v>
      </c>
      <c r="AF303" s="42" t="s">
        <v>529</v>
      </c>
    </row>
    <row r="304" spans="1:32" s="42" customFormat="1" ht="15.75" x14ac:dyDescent="0.2">
      <c r="A304" s="42">
        <v>303</v>
      </c>
      <c r="B304" s="42">
        <v>17</v>
      </c>
      <c r="C304" s="42" t="s">
        <v>638</v>
      </c>
      <c r="D304" s="42" t="s">
        <v>171</v>
      </c>
      <c r="E304" s="42" t="s">
        <v>641</v>
      </c>
      <c r="F304" s="42" t="s">
        <v>133</v>
      </c>
      <c r="G304" s="42" t="s">
        <v>141</v>
      </c>
      <c r="H304" s="42" t="s">
        <v>167</v>
      </c>
      <c r="I304" s="42" t="s">
        <v>356</v>
      </c>
      <c r="J304" s="42">
        <v>17</v>
      </c>
      <c r="K304" s="42" t="s">
        <v>640</v>
      </c>
      <c r="L304" s="42">
        <v>6</v>
      </c>
      <c r="M304" s="42">
        <v>2.0112800000000002</v>
      </c>
      <c r="O304" s="42">
        <v>0.5148299999999999</v>
      </c>
      <c r="P304" s="42">
        <v>6</v>
      </c>
      <c r="Q304" s="42">
        <v>3.4699599999999999</v>
      </c>
      <c r="S304" s="42">
        <v>0.94386000000000037</v>
      </c>
      <c r="T304" s="42">
        <v>6</v>
      </c>
      <c r="U304" s="42" t="s">
        <v>642</v>
      </c>
      <c r="V304" s="42">
        <v>1E-3</v>
      </c>
      <c r="W304" s="42">
        <f t="shared" si="51"/>
        <v>9.9999999999999995E-7</v>
      </c>
      <c r="X304" s="42" t="str">
        <f t="shared" si="47"/>
        <v>Low</v>
      </c>
      <c r="Y304" s="42" t="s">
        <v>643</v>
      </c>
      <c r="Z304" s="42">
        <f t="shared" si="49"/>
        <v>-0.54537173120463867</v>
      </c>
      <c r="AA304" s="42">
        <f t="shared" si="45"/>
        <v>1.0920219592677437E-2</v>
      </c>
      <c r="AB304" s="42">
        <f t="shared" si="46"/>
        <v>1.2331473544114279E-2</v>
      </c>
      <c r="AC304" s="42">
        <f t="shared" si="48"/>
        <v>2.3251693136791714E-2</v>
      </c>
      <c r="AD304" s="42" t="s">
        <v>639</v>
      </c>
      <c r="AF304" s="42" t="s">
        <v>529</v>
      </c>
    </row>
    <row r="305" spans="1:32" s="42" customFormat="1" ht="15.75" x14ac:dyDescent="0.2">
      <c r="A305" s="42">
        <v>304</v>
      </c>
      <c r="B305" s="42">
        <v>17</v>
      </c>
      <c r="C305" s="42" t="s">
        <v>638</v>
      </c>
      <c r="D305" s="42" t="s">
        <v>171</v>
      </c>
      <c r="E305" s="42" t="s">
        <v>641</v>
      </c>
      <c r="F305" s="42" t="s">
        <v>509</v>
      </c>
      <c r="G305" s="42" t="s">
        <v>141</v>
      </c>
      <c r="H305" s="42" t="s">
        <v>167</v>
      </c>
      <c r="I305" s="42" t="s">
        <v>356</v>
      </c>
      <c r="J305" s="42">
        <v>17</v>
      </c>
      <c r="K305" s="42" t="s">
        <v>644</v>
      </c>
      <c r="L305" s="42">
        <v>6</v>
      </c>
      <c r="M305" s="42">
        <v>2.0112800000000002</v>
      </c>
      <c r="O305" s="42">
        <v>0.94385999999999992</v>
      </c>
      <c r="P305" s="42">
        <v>6</v>
      </c>
      <c r="Q305" s="42">
        <v>4.5629999999999997</v>
      </c>
      <c r="S305" s="42">
        <v>0.94386000000000037</v>
      </c>
      <c r="T305" s="42">
        <v>6</v>
      </c>
      <c r="U305" s="42" t="s">
        <v>642</v>
      </c>
      <c r="V305" s="42">
        <v>1E-3</v>
      </c>
      <c r="W305" s="42">
        <f t="shared" si="51"/>
        <v>9.9999999999999995E-7</v>
      </c>
      <c r="X305" s="42" t="str">
        <f t="shared" si="47"/>
        <v>Low</v>
      </c>
      <c r="Y305" s="42" t="s">
        <v>645</v>
      </c>
      <c r="Z305" s="42">
        <f t="shared" si="49"/>
        <v>-0.81920896663509868</v>
      </c>
      <c r="AA305" s="42">
        <f t="shared" si="45"/>
        <v>3.6704460283798895E-2</v>
      </c>
      <c r="AB305" s="42">
        <f t="shared" si="46"/>
        <v>7.1312058819164529E-3</v>
      </c>
      <c r="AC305" s="42">
        <f t="shared" si="48"/>
        <v>4.3835666165715347E-2</v>
      </c>
      <c r="AD305" s="42" t="s">
        <v>639</v>
      </c>
      <c r="AF305" s="42" t="s">
        <v>529</v>
      </c>
    </row>
    <row r="306" spans="1:32" s="42" customFormat="1" ht="15.75" x14ac:dyDescent="0.2">
      <c r="A306" s="42">
        <v>305</v>
      </c>
      <c r="B306" s="42">
        <v>17</v>
      </c>
      <c r="C306" s="42" t="s">
        <v>638</v>
      </c>
      <c r="D306" s="42" t="s">
        <v>171</v>
      </c>
      <c r="E306" s="42" t="s">
        <v>641</v>
      </c>
      <c r="F306" s="42" t="s">
        <v>509</v>
      </c>
      <c r="G306" s="42" t="s">
        <v>141</v>
      </c>
      <c r="H306" s="42" t="s">
        <v>167</v>
      </c>
      <c r="I306" s="42" t="s">
        <v>356</v>
      </c>
      <c r="J306" s="42">
        <v>17</v>
      </c>
      <c r="K306" s="42" t="s">
        <v>646</v>
      </c>
      <c r="L306" s="42">
        <v>6</v>
      </c>
      <c r="M306" s="42">
        <v>3.0213999999999999</v>
      </c>
      <c r="O306" s="42">
        <v>1.3728799999999999</v>
      </c>
      <c r="P306" s="42">
        <v>6</v>
      </c>
      <c r="Q306" s="42">
        <v>4.5629999999999997</v>
      </c>
      <c r="S306" s="42">
        <v>0.94386000000000037</v>
      </c>
      <c r="T306" s="42">
        <v>6</v>
      </c>
      <c r="U306" s="42" t="s">
        <v>642</v>
      </c>
      <c r="V306" s="42">
        <v>1E-3</v>
      </c>
      <c r="W306" s="42">
        <f t="shared" si="51"/>
        <v>9.9999999999999995E-7</v>
      </c>
      <c r="X306" s="42" t="str">
        <f t="shared" si="47"/>
        <v>Low</v>
      </c>
      <c r="Y306" s="42" t="s">
        <v>645</v>
      </c>
      <c r="Z306" s="42">
        <f>LN(M306/Q306)</f>
        <v>-0.41226000181777794</v>
      </c>
      <c r="AA306" s="42">
        <f t="shared" si="45"/>
        <v>3.4411012904692694E-2</v>
      </c>
      <c r="AB306" s="42">
        <f t="shared" si="46"/>
        <v>7.1312058819164529E-3</v>
      </c>
      <c r="AC306" s="42">
        <f t="shared" si="48"/>
        <v>4.1542218786609145E-2</v>
      </c>
      <c r="AD306" s="42" t="s">
        <v>639</v>
      </c>
      <c r="AF306" s="42" t="s">
        <v>529</v>
      </c>
    </row>
    <row r="307" spans="1:32" s="42" customFormat="1" ht="15.75" x14ac:dyDescent="0.2">
      <c r="A307" s="42">
        <v>306</v>
      </c>
      <c r="B307" s="42">
        <v>17</v>
      </c>
      <c r="C307" s="42" t="s">
        <v>638</v>
      </c>
      <c r="D307" s="42" t="s">
        <v>171</v>
      </c>
      <c r="E307" s="42" t="s">
        <v>641</v>
      </c>
      <c r="F307" s="42" t="s">
        <v>133</v>
      </c>
      <c r="G307" s="42" t="s">
        <v>139</v>
      </c>
      <c r="H307" s="42" t="s">
        <v>167</v>
      </c>
      <c r="I307" s="42" t="s">
        <v>356</v>
      </c>
      <c r="J307" s="42">
        <v>17</v>
      </c>
      <c r="K307" s="42" t="s">
        <v>640</v>
      </c>
      <c r="L307" s="42">
        <v>6</v>
      </c>
      <c r="M307" s="42">
        <v>31.871390000000002</v>
      </c>
      <c r="O307" s="42">
        <v>2.8315599999999996</v>
      </c>
      <c r="P307" s="42">
        <v>6</v>
      </c>
      <c r="Q307" s="42">
        <v>27.15212</v>
      </c>
      <c r="S307" s="42">
        <v>3.3463899999999995</v>
      </c>
      <c r="T307" s="42">
        <v>6</v>
      </c>
      <c r="U307" s="42" t="s">
        <v>642</v>
      </c>
      <c r="V307" s="42">
        <v>1E-3</v>
      </c>
      <c r="W307" s="42">
        <f t="shared" si="51"/>
        <v>9.9999999999999995E-7</v>
      </c>
      <c r="X307" s="42" t="str">
        <f t="shared" si="47"/>
        <v>Low</v>
      </c>
      <c r="Y307" s="42" t="s">
        <v>643</v>
      </c>
      <c r="Z307" s="42">
        <f t="shared" si="49"/>
        <v>0.16025361411676817</v>
      </c>
      <c r="AA307" s="42">
        <f t="shared" si="45"/>
        <v>1.3155224912805672E-3</v>
      </c>
      <c r="AB307" s="42">
        <f t="shared" si="46"/>
        <v>2.5315958113546148E-3</v>
      </c>
      <c r="AC307" s="42">
        <f t="shared" si="48"/>
        <v>3.8471183026351817E-3</v>
      </c>
      <c r="AD307" s="42" t="s">
        <v>639</v>
      </c>
      <c r="AF307" s="42" t="s">
        <v>529</v>
      </c>
    </row>
    <row r="308" spans="1:32" s="42" customFormat="1" ht="15.75" x14ac:dyDescent="0.2">
      <c r="A308" s="42">
        <v>307</v>
      </c>
      <c r="B308" s="42">
        <v>17</v>
      </c>
      <c r="C308" s="42" t="s">
        <v>638</v>
      </c>
      <c r="D308" s="42" t="s">
        <v>171</v>
      </c>
      <c r="E308" s="42" t="s">
        <v>641</v>
      </c>
      <c r="F308" s="42" t="s">
        <v>509</v>
      </c>
      <c r="G308" s="42" t="s">
        <v>139</v>
      </c>
      <c r="H308" s="42" t="s">
        <v>167</v>
      </c>
      <c r="I308" s="42" t="s">
        <v>356</v>
      </c>
      <c r="J308" s="42">
        <v>17</v>
      </c>
      <c r="K308" s="42" t="s">
        <v>644</v>
      </c>
      <c r="L308" s="42">
        <v>6</v>
      </c>
      <c r="M308" s="42">
        <v>42.768610000000002</v>
      </c>
      <c r="O308" s="42">
        <v>3.7754199999999969</v>
      </c>
      <c r="P308" s="42">
        <v>6</v>
      </c>
      <c r="Q308" s="42">
        <v>27.15212</v>
      </c>
      <c r="S308" s="42">
        <v>3.3463899999999995</v>
      </c>
      <c r="T308" s="42">
        <v>6</v>
      </c>
      <c r="U308" s="42" t="s">
        <v>642</v>
      </c>
      <c r="V308" s="42">
        <v>1E-3</v>
      </c>
      <c r="W308" s="42">
        <f t="shared" si="51"/>
        <v>9.9999999999999995E-7</v>
      </c>
      <c r="X308" s="42" t="str">
        <f t="shared" si="47"/>
        <v>Low</v>
      </c>
      <c r="Y308" s="42" t="s">
        <v>645</v>
      </c>
      <c r="Z308" s="42">
        <f t="shared" si="49"/>
        <v>0.45434929424918113</v>
      </c>
      <c r="AA308" s="42">
        <f t="shared" si="45"/>
        <v>1.2987603527841744E-3</v>
      </c>
      <c r="AB308" s="42">
        <f t="shared" si="46"/>
        <v>2.5315958113546148E-3</v>
      </c>
      <c r="AC308" s="42">
        <f t="shared" si="48"/>
        <v>3.8303561641387894E-3</v>
      </c>
      <c r="AD308" s="42" t="s">
        <v>639</v>
      </c>
      <c r="AF308" s="42" t="s">
        <v>529</v>
      </c>
    </row>
    <row r="309" spans="1:32" s="42" customFormat="1" ht="15.75" x14ac:dyDescent="0.2">
      <c r="A309" s="42">
        <v>308</v>
      </c>
      <c r="B309" s="42">
        <v>17</v>
      </c>
      <c r="C309" s="42" t="s">
        <v>638</v>
      </c>
      <c r="D309" s="42" t="s">
        <v>171</v>
      </c>
      <c r="E309" s="42" t="s">
        <v>641</v>
      </c>
      <c r="F309" s="42" t="s">
        <v>509</v>
      </c>
      <c r="G309" s="42" t="s">
        <v>139</v>
      </c>
      <c r="H309" s="42" t="s">
        <v>167</v>
      </c>
      <c r="I309" s="42" t="s">
        <v>356</v>
      </c>
      <c r="J309" s="42">
        <v>17</v>
      </c>
      <c r="K309" s="42" t="s">
        <v>646</v>
      </c>
      <c r="L309" s="42">
        <v>6</v>
      </c>
      <c r="M309" s="42">
        <v>59.414769999999997</v>
      </c>
      <c r="O309" s="42">
        <v>3.2605800000000045</v>
      </c>
      <c r="P309" s="42">
        <v>6</v>
      </c>
      <c r="Q309" s="42">
        <v>47.213000000000001</v>
      </c>
      <c r="S309" s="42">
        <v>3.3463899999999995</v>
      </c>
      <c r="T309" s="42">
        <v>6</v>
      </c>
      <c r="U309" s="42" t="s">
        <v>642</v>
      </c>
      <c r="V309" s="42">
        <v>1E-3</v>
      </c>
      <c r="W309" s="42">
        <f t="shared" si="51"/>
        <v>9.9999999999999995E-7</v>
      </c>
      <c r="X309" s="42" t="str">
        <f t="shared" si="47"/>
        <v>Low</v>
      </c>
      <c r="Y309" s="42" t="s">
        <v>645</v>
      </c>
      <c r="Z309" s="42">
        <f t="shared" si="49"/>
        <v>0.22987357025999836</v>
      </c>
      <c r="AA309" s="42">
        <f t="shared" si="45"/>
        <v>5.0193748433935783E-4</v>
      </c>
      <c r="AB309" s="42">
        <f t="shared" si="46"/>
        <v>8.3729531820025775E-4</v>
      </c>
      <c r="AC309" s="42">
        <f t="shared" si="48"/>
        <v>1.3392328025396156E-3</v>
      </c>
      <c r="AD309" s="42" t="s">
        <v>639</v>
      </c>
      <c r="AF309" s="42" t="s">
        <v>529</v>
      </c>
    </row>
    <row r="310" spans="1:32" s="42" customFormat="1" ht="15.75" x14ac:dyDescent="0.2">
      <c r="A310" s="42">
        <v>309</v>
      </c>
      <c r="B310" s="42">
        <v>17</v>
      </c>
      <c r="C310" s="42" t="s">
        <v>638</v>
      </c>
      <c r="D310" s="42" t="s">
        <v>171</v>
      </c>
      <c r="E310" s="42" t="s">
        <v>641</v>
      </c>
      <c r="F310" s="42" t="s">
        <v>133</v>
      </c>
      <c r="G310" s="42" t="s">
        <v>139</v>
      </c>
      <c r="H310" s="42" t="s">
        <v>167</v>
      </c>
      <c r="I310" s="42" t="s">
        <v>356</v>
      </c>
      <c r="J310" s="42">
        <v>17</v>
      </c>
      <c r="K310" s="42" t="s">
        <v>640</v>
      </c>
      <c r="L310" s="42">
        <v>6</v>
      </c>
      <c r="M310" s="42">
        <v>9.6479199999999992</v>
      </c>
      <c r="O310" s="42">
        <v>2.8315600000000014</v>
      </c>
      <c r="P310" s="42">
        <v>6</v>
      </c>
      <c r="Q310" s="42">
        <v>9.1330899999999993</v>
      </c>
      <c r="S310" s="42">
        <v>1.4586800000000011</v>
      </c>
      <c r="T310" s="42">
        <v>6</v>
      </c>
      <c r="U310" s="42" t="s">
        <v>642</v>
      </c>
      <c r="V310" s="42">
        <v>1E-3</v>
      </c>
      <c r="W310" s="42">
        <f t="shared" si="51"/>
        <v>9.9999999999999995E-7</v>
      </c>
      <c r="X310" s="42" t="str">
        <f t="shared" si="47"/>
        <v>Low</v>
      </c>
      <c r="Y310" s="42" t="s">
        <v>643</v>
      </c>
      <c r="Z310" s="42">
        <f t="shared" si="49"/>
        <v>5.4838266041253338E-2</v>
      </c>
      <c r="AA310" s="42">
        <f t="shared" si="45"/>
        <v>1.4355981816327775E-2</v>
      </c>
      <c r="AB310" s="42">
        <f t="shared" si="46"/>
        <v>4.2514133476397068E-3</v>
      </c>
      <c r="AC310" s="42">
        <f t="shared" si="48"/>
        <v>1.8607395163967481E-2</v>
      </c>
      <c r="AD310" s="42" t="s">
        <v>639</v>
      </c>
      <c r="AF310" s="42" t="s">
        <v>529</v>
      </c>
    </row>
    <row r="311" spans="1:32" s="42" customFormat="1" ht="15.75" x14ac:dyDescent="0.2">
      <c r="A311" s="42">
        <v>310</v>
      </c>
      <c r="B311" s="42">
        <v>17</v>
      </c>
      <c r="C311" s="42" t="s">
        <v>638</v>
      </c>
      <c r="D311" s="42" t="s">
        <v>171</v>
      </c>
      <c r="E311" s="42" t="s">
        <v>641</v>
      </c>
      <c r="F311" s="42" t="s">
        <v>509</v>
      </c>
      <c r="G311" s="42" t="s">
        <v>139</v>
      </c>
      <c r="H311" s="42" t="s">
        <v>167</v>
      </c>
      <c r="I311" s="42" t="s">
        <v>356</v>
      </c>
      <c r="J311" s="42">
        <v>17</v>
      </c>
      <c r="K311" s="42" t="s">
        <v>644</v>
      </c>
      <c r="L311" s="42">
        <v>6</v>
      </c>
      <c r="M311" s="42">
        <v>16.254899999999999</v>
      </c>
      <c r="O311" s="42">
        <v>1.8877000000000024</v>
      </c>
      <c r="P311" s="42">
        <v>6</v>
      </c>
      <c r="Q311" s="42">
        <v>12.545999999999999</v>
      </c>
      <c r="S311" s="42">
        <v>1.4586800000000011</v>
      </c>
      <c r="T311" s="42">
        <v>6</v>
      </c>
      <c r="U311" s="42" t="s">
        <v>642</v>
      </c>
      <c r="V311" s="42">
        <v>1E-3</v>
      </c>
      <c r="W311" s="42">
        <f t="shared" si="51"/>
        <v>9.9999999999999995E-7</v>
      </c>
      <c r="X311" s="42" t="str">
        <f t="shared" si="47"/>
        <v>Low</v>
      </c>
      <c r="Y311" s="42" t="s">
        <v>645</v>
      </c>
      <c r="Z311" s="42">
        <f t="shared" si="49"/>
        <v>0.25899251210914864</v>
      </c>
      <c r="AA311" s="42">
        <f t="shared" si="45"/>
        <v>2.2477401186633116E-3</v>
      </c>
      <c r="AB311" s="42">
        <f t="shared" si="46"/>
        <v>2.2529846871097163E-3</v>
      </c>
      <c r="AC311" s="42">
        <f t="shared" si="48"/>
        <v>4.5007248057730275E-3</v>
      </c>
      <c r="AD311" s="42" t="s">
        <v>639</v>
      </c>
      <c r="AF311" s="42" t="s">
        <v>529</v>
      </c>
    </row>
    <row r="312" spans="1:32" s="42" customFormat="1" ht="15.75" x14ac:dyDescent="0.2">
      <c r="A312" s="42">
        <v>311</v>
      </c>
      <c r="B312" s="42">
        <v>17</v>
      </c>
      <c r="C312" s="42" t="s">
        <v>638</v>
      </c>
      <c r="D312" s="42" t="s">
        <v>171</v>
      </c>
      <c r="E312" s="42" t="s">
        <v>641</v>
      </c>
      <c r="F312" s="42" t="s">
        <v>509</v>
      </c>
      <c r="G312" s="42" t="s">
        <v>139</v>
      </c>
      <c r="H312" s="42" t="s">
        <v>167</v>
      </c>
      <c r="I312" s="42" t="s">
        <v>356</v>
      </c>
      <c r="J312" s="42">
        <v>17</v>
      </c>
      <c r="K312" s="42" t="s">
        <v>646</v>
      </c>
      <c r="L312" s="42">
        <v>6</v>
      </c>
      <c r="M312" s="42">
        <v>16.254899999999999</v>
      </c>
      <c r="O312" s="42">
        <v>2.8315599999999996</v>
      </c>
      <c r="P312" s="42">
        <v>6</v>
      </c>
      <c r="Q312" s="42">
        <v>12.545999999999999</v>
      </c>
      <c r="S312" s="42">
        <v>1.4586800000000011</v>
      </c>
      <c r="T312" s="42">
        <v>6</v>
      </c>
      <c r="U312" s="42" t="s">
        <v>642</v>
      </c>
      <c r="V312" s="42">
        <v>1E-3</v>
      </c>
      <c r="W312" s="42">
        <f t="shared" si="51"/>
        <v>9.9999999999999995E-7</v>
      </c>
      <c r="X312" s="42" t="str">
        <f t="shared" si="47"/>
        <v>Low</v>
      </c>
      <c r="Y312" s="42" t="s">
        <v>645</v>
      </c>
      <c r="Z312" s="42">
        <f t="shared" si="49"/>
        <v>0.25899251210914864</v>
      </c>
      <c r="AA312" s="42">
        <f t="shared" si="45"/>
        <v>5.0574509889411761E-3</v>
      </c>
      <c r="AB312" s="42">
        <f t="shared" si="46"/>
        <v>2.2529846871097163E-3</v>
      </c>
      <c r="AC312" s="42">
        <f t="shared" si="48"/>
        <v>7.3104356760508929E-3</v>
      </c>
      <c r="AD312" s="42" t="s">
        <v>639</v>
      </c>
      <c r="AF312" s="42" t="s">
        <v>529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7"/>
  <sheetViews>
    <sheetView topLeftCell="C1" zoomScale="85" zoomScaleNormal="85" workbookViewId="0">
      <pane ySplit="1" topLeftCell="A2" activePane="bottomLeft" state="frozen"/>
      <selection pane="bottomLeft" activeCell="N14" sqref="N14"/>
    </sheetView>
  </sheetViews>
  <sheetFormatPr defaultRowHeight="14.25" x14ac:dyDescent="0.2"/>
  <cols>
    <col min="23" max="23" width="16.875" customWidth="1"/>
    <col min="24" max="24" width="15.375" customWidth="1"/>
    <col min="25" max="26" width="11.375" customWidth="1"/>
    <col min="33" max="33" width="12" customWidth="1"/>
  </cols>
  <sheetData>
    <row r="1" spans="1:39" s="2" customFormat="1" ht="20.2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58</v>
      </c>
      <c r="F1" s="1" t="s">
        <v>660</v>
      </c>
      <c r="G1" s="1" t="s">
        <v>68</v>
      </c>
      <c r="H1" s="1" t="s">
        <v>92</v>
      </c>
      <c r="I1" s="1" t="s">
        <v>40</v>
      </c>
      <c r="J1" s="1" t="s">
        <v>41</v>
      </c>
      <c r="K1" s="1" t="s">
        <v>126</v>
      </c>
      <c r="L1" s="1" t="s">
        <v>42</v>
      </c>
      <c r="M1" s="1" t="s">
        <v>693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694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/>
      <c r="Y1" s="1" t="s">
        <v>706</v>
      </c>
      <c r="Z1" s="1" t="s">
        <v>722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59</v>
      </c>
      <c r="AH1" s="1" t="s">
        <v>61</v>
      </c>
    </row>
    <row r="2" spans="1:39" s="4" customFormat="1" ht="17.25" customHeight="1" x14ac:dyDescent="0.2">
      <c r="A2" s="4">
        <v>1</v>
      </c>
      <c r="B2" s="4">
        <v>1</v>
      </c>
      <c r="C2" s="4" t="s">
        <v>2</v>
      </c>
      <c r="D2" s="4" t="s">
        <v>79</v>
      </c>
      <c r="E2" s="4" t="s">
        <v>80</v>
      </c>
      <c r="F2" s="4" t="s">
        <v>64</v>
      </c>
      <c r="G2" s="4" t="s">
        <v>278</v>
      </c>
      <c r="H2" s="4" t="s">
        <v>94</v>
      </c>
      <c r="I2" s="4" t="s">
        <v>398</v>
      </c>
      <c r="J2" s="4">
        <v>1</v>
      </c>
      <c r="K2" s="4" t="s">
        <v>358</v>
      </c>
      <c r="L2" s="4">
        <v>5</v>
      </c>
      <c r="M2" s="4">
        <f t="shared" ref="M2:M7" si="0">1-(N2/100)</f>
        <v>0.92</v>
      </c>
      <c r="N2" s="4">
        <v>8</v>
      </c>
      <c r="O2" s="4">
        <f>5/100</f>
        <v>0.05</v>
      </c>
      <c r="P2" s="4">
        <f xml:space="preserve"> O2*SQRT(L2)</f>
        <v>0.1118033988749895</v>
      </c>
      <c r="Q2" s="4">
        <v>5</v>
      </c>
      <c r="R2" s="4">
        <f t="shared" ref="R2:R7" si="1">1-(S2/100)</f>
        <v>0.84</v>
      </c>
      <c r="S2" s="4">
        <v>16</v>
      </c>
      <c r="T2" s="4">
        <f>7/100</f>
        <v>7.0000000000000007E-2</v>
      </c>
      <c r="U2" s="4">
        <f xml:space="preserve"> T2*SQRT(Q2)</f>
        <v>0.15652475842498531</v>
      </c>
      <c r="V2" s="4">
        <v>5</v>
      </c>
      <c r="W2" s="4" t="s">
        <v>82</v>
      </c>
      <c r="X2" s="4">
        <v>93.5</v>
      </c>
      <c r="Y2" s="4">
        <f>X2/1000</f>
        <v>9.35E-2</v>
      </c>
      <c r="Z2" s="4" t="str">
        <f>IF(Y2&lt;=1, "Low", IF(Y2&lt;10, "Medium", "High"))</f>
        <v>Low</v>
      </c>
      <c r="AA2" s="4" t="s">
        <v>90</v>
      </c>
      <c r="AB2" s="4">
        <f>LN(M2/R2)</f>
        <v>9.0971778205726786E-2</v>
      </c>
      <c r="AC2" s="4">
        <f>(P2^2)/(L2*M2^2)</f>
        <v>2.9536862003780723E-3</v>
      </c>
      <c r="AD2" s="4">
        <f>(U2^2)/(Q2*R2^2)</f>
        <v>6.9444444444444484E-3</v>
      </c>
      <c r="AE2" s="4">
        <f>SUM(AC2,AD2)</f>
        <v>9.8981306448225198E-3</v>
      </c>
      <c r="AF2" s="4" t="s">
        <v>97</v>
      </c>
      <c r="AG2" s="4" t="s">
        <v>86</v>
      </c>
      <c r="AH2" s="4" t="s">
        <v>698</v>
      </c>
      <c r="AI2" s="4" t="s">
        <v>697</v>
      </c>
      <c r="AM2" s="4" t="s">
        <v>695</v>
      </c>
    </row>
    <row r="3" spans="1:39" s="4" customFormat="1" ht="15.75" x14ac:dyDescent="0.2">
      <c r="A3" s="4">
        <v>2</v>
      </c>
      <c r="B3" s="4">
        <v>1</v>
      </c>
      <c r="C3" s="4" t="s">
        <v>2</v>
      </c>
      <c r="D3" s="4" t="s">
        <v>79</v>
      </c>
      <c r="E3" s="4" t="s">
        <v>80</v>
      </c>
      <c r="F3" s="4" t="s">
        <v>64</v>
      </c>
      <c r="G3" s="4" t="s">
        <v>278</v>
      </c>
      <c r="H3" s="4" t="s">
        <v>94</v>
      </c>
      <c r="I3" s="4" t="s">
        <v>398</v>
      </c>
      <c r="J3" s="4">
        <v>1</v>
      </c>
      <c r="K3" s="4" t="s">
        <v>358</v>
      </c>
      <c r="L3" s="4">
        <v>5</v>
      </c>
      <c r="M3" s="4">
        <f t="shared" si="0"/>
        <v>0.84</v>
      </c>
      <c r="N3" s="4">
        <v>16</v>
      </c>
      <c r="O3" s="4">
        <f>7/100</f>
        <v>7.0000000000000007E-2</v>
      </c>
      <c r="P3" s="4">
        <f t="shared" ref="P3:P21" si="2" xml:space="preserve"> O3*SQRT(L3)</f>
        <v>0.15652475842498531</v>
      </c>
      <c r="Q3" s="4">
        <v>5</v>
      </c>
      <c r="R3" s="4">
        <f t="shared" si="1"/>
        <v>0.84</v>
      </c>
      <c r="S3" s="4">
        <v>16</v>
      </c>
      <c r="T3" s="4">
        <f>7/100</f>
        <v>7.0000000000000007E-2</v>
      </c>
      <c r="U3" s="4">
        <f t="shared" ref="U3:U21" si="3" xml:space="preserve"> T3*SQRT(Q3)</f>
        <v>0.15652475842498531</v>
      </c>
      <c r="V3" s="4">
        <v>5</v>
      </c>
      <c r="W3" s="4" t="s">
        <v>83</v>
      </c>
      <c r="X3" s="4">
        <v>187.5</v>
      </c>
      <c r="Y3" s="4">
        <f>X3/1000</f>
        <v>0.1875</v>
      </c>
      <c r="Z3" s="4" t="str">
        <f t="shared" ref="Z3:Z57" si="4">IF(Y3&lt;=1, "Low", IF(Y3&lt;10, "Medium", "High"))</f>
        <v>Low</v>
      </c>
      <c r="AA3" s="4" t="s">
        <v>90</v>
      </c>
      <c r="AB3" s="4">
        <f t="shared" ref="AB3:AB57" si="5">LN(M3/R3)</f>
        <v>0</v>
      </c>
      <c r="AC3" s="4">
        <f t="shared" ref="AC3:AC57" si="6">(P3^2)/(L3*M3^2)</f>
        <v>6.9444444444444484E-3</v>
      </c>
      <c r="AD3" s="4">
        <f t="shared" ref="AD3:AD57" si="7">(U3^2)/(Q3*R3^2)</f>
        <v>6.9444444444444484E-3</v>
      </c>
      <c r="AE3" s="4">
        <f t="shared" ref="AE3:AE57" si="8">SUM(AC3,AD3)</f>
        <v>1.3888888888888897E-2</v>
      </c>
      <c r="AF3" s="4" t="s">
        <v>97</v>
      </c>
      <c r="AH3" s="4" t="s">
        <v>698</v>
      </c>
      <c r="AI3" s="4" t="s">
        <v>697</v>
      </c>
    </row>
    <row r="4" spans="1:39" s="4" customFormat="1" ht="15.75" x14ac:dyDescent="0.2">
      <c r="A4" s="4">
        <v>3</v>
      </c>
      <c r="B4" s="4">
        <v>1</v>
      </c>
      <c r="C4" s="4" t="s">
        <v>2</v>
      </c>
      <c r="D4" s="4" t="s">
        <v>79</v>
      </c>
      <c r="E4" s="4" t="s">
        <v>80</v>
      </c>
      <c r="F4" s="4" t="s">
        <v>64</v>
      </c>
      <c r="G4" s="4" t="s">
        <v>278</v>
      </c>
      <c r="H4" s="4" t="s">
        <v>94</v>
      </c>
      <c r="I4" s="4" t="s">
        <v>398</v>
      </c>
      <c r="J4" s="4">
        <v>1</v>
      </c>
      <c r="K4" s="4" t="s">
        <v>358</v>
      </c>
      <c r="L4" s="4">
        <v>5</v>
      </c>
      <c r="M4" s="4">
        <f t="shared" si="0"/>
        <v>0.99</v>
      </c>
      <c r="N4" s="4">
        <v>1</v>
      </c>
      <c r="O4" s="4">
        <f>0/100</f>
        <v>0</v>
      </c>
      <c r="P4" s="4">
        <f t="shared" si="2"/>
        <v>0</v>
      </c>
      <c r="Q4" s="4">
        <v>5</v>
      </c>
      <c r="R4" s="4">
        <f t="shared" si="1"/>
        <v>0.84</v>
      </c>
      <c r="S4" s="4">
        <v>16</v>
      </c>
      <c r="T4" s="4">
        <f>7/100</f>
        <v>7.0000000000000007E-2</v>
      </c>
      <c r="U4" s="4">
        <f t="shared" si="3"/>
        <v>0.15652475842498531</v>
      </c>
      <c r="V4" s="4">
        <v>5</v>
      </c>
      <c r="W4" s="4" t="s">
        <v>84</v>
      </c>
      <c r="X4" s="4">
        <v>375</v>
      </c>
      <c r="Y4" s="4">
        <f>X4/1000</f>
        <v>0.375</v>
      </c>
      <c r="Z4" s="4" t="str">
        <f t="shared" si="4"/>
        <v>Low</v>
      </c>
      <c r="AA4" s="4" t="s">
        <v>90</v>
      </c>
      <c r="AB4" s="4">
        <f t="shared" si="5"/>
        <v>0.16430305129127634</v>
      </c>
      <c r="AC4" s="4">
        <f t="shared" si="6"/>
        <v>0</v>
      </c>
      <c r="AD4" s="4">
        <f t="shared" si="7"/>
        <v>6.9444444444444484E-3</v>
      </c>
      <c r="AE4" s="4">
        <f t="shared" si="8"/>
        <v>6.9444444444444484E-3</v>
      </c>
      <c r="AF4" s="4" t="s">
        <v>97</v>
      </c>
      <c r="AH4" s="4" t="s">
        <v>698</v>
      </c>
      <c r="AI4" s="4" t="s">
        <v>697</v>
      </c>
      <c r="AM4" s="4" t="s">
        <v>696</v>
      </c>
    </row>
    <row r="5" spans="1:39" s="4" customFormat="1" ht="15.75" x14ac:dyDescent="0.2">
      <c r="A5" s="4">
        <v>4</v>
      </c>
      <c r="B5" s="4">
        <v>1</v>
      </c>
      <c r="C5" s="4" t="s">
        <v>2</v>
      </c>
      <c r="D5" s="4" t="s">
        <v>79</v>
      </c>
      <c r="E5" s="4" t="s">
        <v>80</v>
      </c>
      <c r="F5" s="4" t="s">
        <v>64</v>
      </c>
      <c r="G5" s="4" t="s">
        <v>278</v>
      </c>
      <c r="H5" s="4" t="s">
        <v>94</v>
      </c>
      <c r="I5" s="4" t="s">
        <v>398</v>
      </c>
      <c r="J5" s="4">
        <v>1</v>
      </c>
      <c r="K5" s="4" t="s">
        <v>358</v>
      </c>
      <c r="L5" s="4">
        <v>5</v>
      </c>
      <c r="M5" s="4">
        <f t="shared" si="0"/>
        <v>0.92</v>
      </c>
      <c r="N5" s="4">
        <v>8</v>
      </c>
      <c r="O5" s="4">
        <f>5/100</f>
        <v>0.05</v>
      </c>
      <c r="P5" s="4">
        <f t="shared" si="2"/>
        <v>0.1118033988749895</v>
      </c>
      <c r="Q5" s="4">
        <v>5</v>
      </c>
      <c r="R5" s="4">
        <f t="shared" si="1"/>
        <v>0.84</v>
      </c>
      <c r="S5" s="4">
        <v>16</v>
      </c>
      <c r="T5" s="4">
        <f>7/100</f>
        <v>7.0000000000000007E-2</v>
      </c>
      <c r="U5" s="4">
        <f t="shared" si="3"/>
        <v>0.15652475842498531</v>
      </c>
      <c r="V5" s="4">
        <v>5</v>
      </c>
      <c r="W5" s="4" t="s">
        <v>85</v>
      </c>
      <c r="X5" s="4">
        <v>750</v>
      </c>
      <c r="Y5" s="4">
        <f>X5/1000</f>
        <v>0.75</v>
      </c>
      <c r="Z5" s="4" t="str">
        <f t="shared" si="4"/>
        <v>Low</v>
      </c>
      <c r="AA5" s="4" t="s">
        <v>90</v>
      </c>
      <c r="AB5" s="4">
        <f t="shared" si="5"/>
        <v>9.0971778205726786E-2</v>
      </c>
      <c r="AC5" s="4">
        <f t="shared" si="6"/>
        <v>2.9536862003780723E-3</v>
      </c>
      <c r="AD5" s="4">
        <f t="shared" si="7"/>
        <v>6.9444444444444484E-3</v>
      </c>
      <c r="AE5" s="4">
        <f t="shared" si="8"/>
        <v>9.8981306448225198E-3</v>
      </c>
      <c r="AF5" s="4" t="s">
        <v>97</v>
      </c>
      <c r="AH5" s="4" t="s">
        <v>698</v>
      </c>
      <c r="AI5" s="4" t="s">
        <v>697</v>
      </c>
    </row>
    <row r="6" spans="1:39" s="15" customFormat="1" ht="15.75" x14ac:dyDescent="0.2">
      <c r="A6" s="15">
        <v>5</v>
      </c>
      <c r="B6" s="15">
        <v>2</v>
      </c>
      <c r="C6" s="15" t="s">
        <v>271</v>
      </c>
      <c r="D6" s="15" t="s">
        <v>238</v>
      </c>
      <c r="E6" s="15" t="s">
        <v>279</v>
      </c>
      <c r="F6" s="15" t="s">
        <v>133</v>
      </c>
      <c r="G6" s="15" t="s">
        <v>168</v>
      </c>
      <c r="H6" s="15" t="s">
        <v>167</v>
      </c>
      <c r="I6" s="15" t="s">
        <v>399</v>
      </c>
      <c r="J6" s="15">
        <v>2</v>
      </c>
      <c r="K6" s="15" t="s">
        <v>280</v>
      </c>
      <c r="L6" s="15">
        <v>3</v>
      </c>
      <c r="M6" s="15">
        <f t="shared" si="0"/>
        <v>0.66723949999999999</v>
      </c>
      <c r="N6" s="15">
        <v>33.276049999999998</v>
      </c>
      <c r="O6" s="15">
        <f>5.3829/100</f>
        <v>5.3829000000000002E-2</v>
      </c>
      <c r="P6" s="15">
        <f t="shared" si="2"/>
        <v>9.3234562920625097E-2</v>
      </c>
      <c r="Q6" s="15">
        <v>3</v>
      </c>
      <c r="R6" s="15">
        <f t="shared" si="1"/>
        <v>0.73414120000000005</v>
      </c>
      <c r="S6" s="15">
        <v>26.58588</v>
      </c>
      <c r="T6" s="15">
        <f>15.01443/100</f>
        <v>0.15014430000000001</v>
      </c>
      <c r="U6" s="15">
        <f t="shared" si="3"/>
        <v>0.26005755606686376</v>
      </c>
      <c r="V6" s="15">
        <v>3</v>
      </c>
      <c r="W6" s="15" t="s">
        <v>275</v>
      </c>
      <c r="X6" s="15">
        <v>1</v>
      </c>
      <c r="Y6" s="15">
        <f>X6/ 1000</f>
        <v>1E-3</v>
      </c>
      <c r="Z6" s="15" t="str">
        <f t="shared" si="4"/>
        <v>Low</v>
      </c>
      <c r="AA6" s="15" t="s">
        <v>274</v>
      </c>
      <c r="AB6" s="15">
        <f t="shared" si="5"/>
        <v>-9.5552328755857202E-2</v>
      </c>
      <c r="AC6" s="15">
        <f t="shared" si="6"/>
        <v>6.5083234332659968E-3</v>
      </c>
      <c r="AD6" s="15">
        <f t="shared" si="7"/>
        <v>4.1827172199263331E-2</v>
      </c>
      <c r="AE6" s="15">
        <f t="shared" si="8"/>
        <v>4.8335495632529327E-2</v>
      </c>
      <c r="AF6" s="15" t="s">
        <v>163</v>
      </c>
      <c r="AH6" s="15" t="s">
        <v>614</v>
      </c>
      <c r="AI6" s="15" t="s">
        <v>697</v>
      </c>
    </row>
    <row r="7" spans="1:39" s="15" customFormat="1" ht="15.75" x14ac:dyDescent="0.2">
      <c r="A7" s="15">
        <v>6</v>
      </c>
      <c r="B7" s="15">
        <v>2</v>
      </c>
      <c r="C7" s="15" t="s">
        <v>271</v>
      </c>
      <c r="D7" s="15" t="s">
        <v>238</v>
      </c>
      <c r="E7" s="15" t="s">
        <v>279</v>
      </c>
      <c r="F7" s="15" t="s">
        <v>133</v>
      </c>
      <c r="G7" s="15" t="s">
        <v>168</v>
      </c>
      <c r="H7" s="15" t="s">
        <v>167</v>
      </c>
      <c r="I7" s="15" t="s">
        <v>399</v>
      </c>
      <c r="J7" s="15">
        <v>2</v>
      </c>
      <c r="K7" s="15" t="s">
        <v>280</v>
      </c>
      <c r="L7" s="15">
        <v>3</v>
      </c>
      <c r="M7" s="15">
        <f t="shared" si="0"/>
        <v>0.70165159999999993</v>
      </c>
      <c r="N7" s="15">
        <v>29.83484</v>
      </c>
      <c r="O7" s="15">
        <f>9.90069/100</f>
        <v>9.9006900000000009E-2</v>
      </c>
      <c r="P7" s="15">
        <f t="shared" si="2"/>
        <v>0.17148498109989108</v>
      </c>
      <c r="Q7" s="15">
        <v>3</v>
      </c>
      <c r="R7" s="15">
        <f t="shared" si="1"/>
        <v>0.73414120000000005</v>
      </c>
      <c r="S7" s="15">
        <v>26.58588</v>
      </c>
      <c r="T7" s="15">
        <f>15.01443/100</f>
        <v>0.15014430000000001</v>
      </c>
      <c r="U7" s="15">
        <f t="shared" si="3"/>
        <v>0.26005755606686376</v>
      </c>
      <c r="V7" s="15">
        <v>3</v>
      </c>
      <c r="W7" s="15" t="s">
        <v>276</v>
      </c>
      <c r="X7" s="15">
        <v>10</v>
      </c>
      <c r="Y7" s="15">
        <f>X7/ 1000</f>
        <v>0.01</v>
      </c>
      <c r="Z7" s="15" t="str">
        <f t="shared" si="4"/>
        <v>Low</v>
      </c>
      <c r="AA7" s="15" t="s">
        <v>274</v>
      </c>
      <c r="AB7" s="15">
        <f t="shared" si="5"/>
        <v>-4.5264396152131688E-2</v>
      </c>
      <c r="AC7" s="15">
        <f t="shared" si="6"/>
        <v>1.9910762193075138E-2</v>
      </c>
      <c r="AD7" s="15">
        <f t="shared" si="7"/>
        <v>4.1827172199263331E-2</v>
      </c>
      <c r="AE7" s="15">
        <f t="shared" si="8"/>
        <v>6.1737934392338469E-2</v>
      </c>
      <c r="AF7" s="15" t="s">
        <v>163</v>
      </c>
      <c r="AH7" s="15" t="s">
        <v>614</v>
      </c>
      <c r="AI7" s="15" t="s">
        <v>697</v>
      </c>
    </row>
    <row r="8" spans="1:39" s="24" customFormat="1" ht="15.75" x14ac:dyDescent="0.2">
      <c r="A8" s="24">
        <v>7</v>
      </c>
      <c r="B8" s="24">
        <v>3</v>
      </c>
      <c r="C8" s="24" t="s">
        <v>389</v>
      </c>
      <c r="D8" s="24" t="s">
        <v>771</v>
      </c>
      <c r="E8" s="24" t="s">
        <v>132</v>
      </c>
      <c r="F8" s="24" t="s">
        <v>133</v>
      </c>
      <c r="G8" s="24" t="s">
        <v>168</v>
      </c>
      <c r="H8" s="24" t="s">
        <v>400</v>
      </c>
      <c r="I8" s="24" t="s">
        <v>399</v>
      </c>
      <c r="J8" s="24">
        <v>3</v>
      </c>
      <c r="K8" s="24" t="s">
        <v>127</v>
      </c>
      <c r="L8" s="24">
        <v>3</v>
      </c>
      <c r="M8" s="24">
        <v>96.945610000000002</v>
      </c>
      <c r="N8" s="24">
        <v>96.945610000000002</v>
      </c>
      <c r="O8" s="24">
        <v>0.51792000000000371</v>
      </c>
      <c r="P8" s="24">
        <f t="shared" si="2"/>
        <v>0.89706375425607932</v>
      </c>
      <c r="Q8" s="24">
        <v>3</v>
      </c>
      <c r="R8" s="24">
        <v>98.602940000000004</v>
      </c>
      <c r="S8" s="24">
        <v>98.602940000000004</v>
      </c>
      <c r="T8" s="24">
        <v>0.6214999999999975</v>
      </c>
      <c r="U8" s="24">
        <f t="shared" si="3"/>
        <v>1.0764695769040529</v>
      </c>
      <c r="V8" s="24">
        <v>3</v>
      </c>
      <c r="W8" s="24" t="s">
        <v>396</v>
      </c>
      <c r="X8" s="24">
        <v>10</v>
      </c>
      <c r="Y8" s="24">
        <f t="shared" ref="Y8:Y21" si="9">X8/ 1000</f>
        <v>0.01</v>
      </c>
      <c r="Z8" s="24" t="str">
        <f t="shared" si="4"/>
        <v>Low</v>
      </c>
      <c r="AA8" s="24" t="s">
        <v>394</v>
      </c>
      <c r="AB8" s="24">
        <f t="shared" si="5"/>
        <v>-1.695097901755346E-2</v>
      </c>
      <c r="AC8" s="24">
        <f t="shared" si="6"/>
        <v>2.854099232809982E-5</v>
      </c>
      <c r="AD8" s="24">
        <f t="shared" si="7"/>
        <v>3.9728533785782234E-5</v>
      </c>
      <c r="AE8" s="24">
        <f>SUM(AC8,AD8)</f>
        <v>6.8269526113882054E-5</v>
      </c>
      <c r="AF8" s="24" t="s">
        <v>163</v>
      </c>
      <c r="AH8" s="24" t="s">
        <v>399</v>
      </c>
    </row>
    <row r="9" spans="1:39" s="24" customFormat="1" ht="15.75" x14ac:dyDescent="0.2">
      <c r="A9" s="24">
        <v>8</v>
      </c>
      <c r="B9" s="24">
        <v>3</v>
      </c>
      <c r="C9" s="24" t="s">
        <v>389</v>
      </c>
      <c r="D9" s="24" t="s">
        <v>771</v>
      </c>
      <c r="E9" s="24" t="s">
        <v>132</v>
      </c>
      <c r="F9" s="24" t="s">
        <v>133</v>
      </c>
      <c r="G9" s="24" t="s">
        <v>168</v>
      </c>
      <c r="H9" s="24" t="s">
        <v>400</v>
      </c>
      <c r="I9" s="24" t="s">
        <v>399</v>
      </c>
      <c r="J9" s="24">
        <v>3</v>
      </c>
      <c r="K9" s="24" t="s">
        <v>772</v>
      </c>
      <c r="L9" s="24">
        <v>3</v>
      </c>
      <c r="M9" s="24">
        <v>94.045289999999994</v>
      </c>
      <c r="N9" s="24">
        <v>94.045289999999994</v>
      </c>
      <c r="O9" s="24">
        <v>4.5576500000000095</v>
      </c>
      <c r="P9" s="24">
        <f t="shared" si="2"/>
        <v>7.8940813631163094</v>
      </c>
      <c r="Q9" s="24">
        <v>3</v>
      </c>
      <c r="R9" s="24">
        <v>99.742360000000005</v>
      </c>
      <c r="S9" s="24">
        <v>99.742360000000005</v>
      </c>
      <c r="T9" s="24">
        <v>0.25</v>
      </c>
      <c r="U9" s="24">
        <f t="shared" si="3"/>
        <v>0.4330127018922193</v>
      </c>
      <c r="V9" s="24">
        <v>3</v>
      </c>
      <c r="W9" s="24" t="s">
        <v>396</v>
      </c>
      <c r="X9" s="24">
        <v>10</v>
      </c>
      <c r="Y9" s="24">
        <f t="shared" si="9"/>
        <v>0.01</v>
      </c>
      <c r="Z9" s="24" t="str">
        <f t="shared" si="4"/>
        <v>Low</v>
      </c>
      <c r="AA9" s="24" t="s">
        <v>394</v>
      </c>
      <c r="AB9" s="24">
        <f t="shared" si="5"/>
        <v>-5.8813986609808584E-2</v>
      </c>
      <c r="AC9" s="24">
        <f t="shared" si="6"/>
        <v>2.3485934313444467E-3</v>
      </c>
      <c r="AD9" s="24">
        <f t="shared" si="7"/>
        <v>6.2823298883672489E-6</v>
      </c>
      <c r="AE9" s="24">
        <f t="shared" si="8"/>
        <v>2.354875761232814E-3</v>
      </c>
      <c r="AF9" s="24" t="s">
        <v>163</v>
      </c>
      <c r="AH9" s="24" t="s">
        <v>399</v>
      </c>
    </row>
    <row r="10" spans="1:39" s="24" customFormat="1" ht="15.75" x14ac:dyDescent="0.2">
      <c r="A10" s="24">
        <v>9</v>
      </c>
      <c r="B10" s="24">
        <v>3</v>
      </c>
      <c r="C10" s="24" t="s">
        <v>389</v>
      </c>
      <c r="D10" s="24" t="s">
        <v>771</v>
      </c>
      <c r="E10" s="24" t="s">
        <v>132</v>
      </c>
      <c r="F10" s="24" t="s">
        <v>133</v>
      </c>
      <c r="G10" s="24" t="s">
        <v>168</v>
      </c>
      <c r="H10" s="24" t="s">
        <v>400</v>
      </c>
      <c r="I10" s="24" t="s">
        <v>399</v>
      </c>
      <c r="J10" s="24">
        <v>3</v>
      </c>
      <c r="K10" s="24" t="s">
        <v>375</v>
      </c>
      <c r="L10" s="24">
        <v>3</v>
      </c>
      <c r="M10" s="24">
        <v>90.627039999999994</v>
      </c>
      <c r="N10" s="24">
        <v>90.627039999999994</v>
      </c>
      <c r="O10" s="24">
        <v>0.12540000000000001</v>
      </c>
      <c r="P10" s="24">
        <f xml:space="preserve"> O10*SQRT(L10)</f>
        <v>0.21719917126913721</v>
      </c>
      <c r="Q10" s="24">
        <v>3</v>
      </c>
      <c r="R10" s="24">
        <v>96.945610000000002</v>
      </c>
      <c r="S10" s="24">
        <v>96.945610000000002</v>
      </c>
      <c r="T10" s="24">
        <v>0.12</v>
      </c>
      <c r="U10" s="24">
        <f xml:space="preserve"> T10*SQRT(Q10)</f>
        <v>0.20784609690826525</v>
      </c>
      <c r="V10" s="24">
        <v>3</v>
      </c>
      <c r="W10" s="24" t="s">
        <v>396</v>
      </c>
      <c r="X10" s="24">
        <v>10</v>
      </c>
      <c r="Y10" s="24">
        <f t="shared" si="9"/>
        <v>0.01</v>
      </c>
      <c r="Z10" s="24" t="str">
        <f t="shared" si="4"/>
        <v>Low</v>
      </c>
      <c r="AA10" s="24" t="s">
        <v>394</v>
      </c>
      <c r="AB10" s="24">
        <f t="shared" si="5"/>
        <v>-6.7397476324411815E-2</v>
      </c>
      <c r="AC10" s="24">
        <f t="shared" si="6"/>
        <v>1.9146062920271387E-6</v>
      </c>
      <c r="AD10" s="24">
        <f t="shared" si="7"/>
        <v>1.5321673266155486E-6</v>
      </c>
      <c r="AE10" s="24">
        <f t="shared" si="8"/>
        <v>3.4467736186426875E-6</v>
      </c>
      <c r="AF10" s="24" t="s">
        <v>163</v>
      </c>
      <c r="AH10" s="24" t="s">
        <v>399</v>
      </c>
    </row>
    <row r="11" spans="1:39" s="24" customFormat="1" ht="15.75" x14ac:dyDescent="0.2">
      <c r="A11" s="24">
        <v>10</v>
      </c>
      <c r="B11" s="24">
        <v>3</v>
      </c>
      <c r="C11" s="24" t="s">
        <v>389</v>
      </c>
      <c r="D11" s="24" t="s">
        <v>771</v>
      </c>
      <c r="E11" s="24" t="s">
        <v>132</v>
      </c>
      <c r="F11" s="24" t="s">
        <v>133</v>
      </c>
      <c r="G11" s="24" t="s">
        <v>168</v>
      </c>
      <c r="H11" s="24" t="s">
        <v>400</v>
      </c>
      <c r="I11" s="24" t="s">
        <v>399</v>
      </c>
      <c r="J11" s="24">
        <v>3</v>
      </c>
      <c r="K11" s="24" t="s">
        <v>773</v>
      </c>
      <c r="L11" s="24">
        <v>3</v>
      </c>
      <c r="M11" s="24">
        <v>86.587299999999999</v>
      </c>
      <c r="N11" s="24">
        <v>86.587299999999999</v>
      </c>
      <c r="O11" s="24">
        <v>2.9003299999999967</v>
      </c>
      <c r="P11" s="24">
        <f t="shared" si="2"/>
        <v>5.0235189187162357</v>
      </c>
      <c r="Q11" s="24">
        <v>3</v>
      </c>
      <c r="R11" s="24">
        <v>96.945610000000002</v>
      </c>
      <c r="S11" s="24">
        <v>96.945610000000002</v>
      </c>
      <c r="T11" s="24">
        <v>0.2</v>
      </c>
      <c r="U11" s="24">
        <f t="shared" si="3"/>
        <v>0.34641016151377546</v>
      </c>
      <c r="V11" s="24">
        <v>3</v>
      </c>
      <c r="W11" s="24" t="s">
        <v>396</v>
      </c>
      <c r="X11" s="24">
        <v>10</v>
      </c>
      <c r="Y11" s="24">
        <f t="shared" si="9"/>
        <v>0.01</v>
      </c>
      <c r="Z11" s="24" t="str">
        <f t="shared" si="4"/>
        <v>Low</v>
      </c>
      <c r="AA11" s="24" t="s">
        <v>394</v>
      </c>
      <c r="AB11" s="24">
        <f t="shared" si="5"/>
        <v>-0.11299694604689159</v>
      </c>
      <c r="AC11" s="24">
        <f t="shared" si="6"/>
        <v>1.1219834080291261E-3</v>
      </c>
      <c r="AD11" s="24">
        <f t="shared" si="7"/>
        <v>4.2560203517098579E-6</v>
      </c>
      <c r="AE11" s="24">
        <f t="shared" si="8"/>
        <v>1.126239428380836E-3</v>
      </c>
      <c r="AF11" s="24" t="s">
        <v>163</v>
      </c>
      <c r="AH11" s="24" t="s">
        <v>399</v>
      </c>
    </row>
    <row r="12" spans="1:39" s="24" customFormat="1" ht="15.75" x14ac:dyDescent="0.2">
      <c r="A12" s="24">
        <v>11</v>
      </c>
      <c r="B12" s="24">
        <v>3</v>
      </c>
      <c r="C12" s="24" t="s">
        <v>389</v>
      </c>
      <c r="D12" s="24" t="s">
        <v>771</v>
      </c>
      <c r="E12" s="24" t="s">
        <v>132</v>
      </c>
      <c r="F12" s="24" t="s">
        <v>133</v>
      </c>
      <c r="G12" s="24" t="s">
        <v>168</v>
      </c>
      <c r="H12" s="24" t="s">
        <v>400</v>
      </c>
      <c r="I12" s="24" t="s">
        <v>399</v>
      </c>
      <c r="J12" s="24">
        <v>3</v>
      </c>
      <c r="K12" s="24" t="s">
        <v>359</v>
      </c>
      <c r="L12" s="24">
        <v>3</v>
      </c>
      <c r="M12" s="24">
        <v>85.447890000000001</v>
      </c>
      <c r="N12" s="24">
        <v>85.447890000000001</v>
      </c>
      <c r="O12" s="24">
        <v>0.62148999999999432</v>
      </c>
      <c r="P12" s="24">
        <f t="shared" si="2"/>
        <v>1.0764522563959718</v>
      </c>
      <c r="Q12" s="24">
        <v>3</v>
      </c>
      <c r="R12" s="24">
        <v>96.324110000000005</v>
      </c>
      <c r="S12" s="24">
        <v>96.324110000000005</v>
      </c>
      <c r="T12" s="24">
        <v>0.13100000000000001</v>
      </c>
      <c r="U12" s="24">
        <f t="shared" si="3"/>
        <v>0.22689865579152294</v>
      </c>
      <c r="V12" s="24">
        <v>3</v>
      </c>
      <c r="W12" s="24" t="s">
        <v>396</v>
      </c>
      <c r="X12" s="24">
        <v>10</v>
      </c>
      <c r="Y12" s="24">
        <f t="shared" si="9"/>
        <v>0.01</v>
      </c>
      <c r="Z12" s="24" t="str">
        <f t="shared" si="4"/>
        <v>Low</v>
      </c>
      <c r="AA12" s="24" t="s">
        <v>394</v>
      </c>
      <c r="AB12" s="24">
        <f t="shared" si="5"/>
        <v>-0.11981193446202285</v>
      </c>
      <c r="AC12" s="24">
        <f t="shared" si="6"/>
        <v>5.290120981891976E-5</v>
      </c>
      <c r="AD12" s="24">
        <f t="shared" si="7"/>
        <v>1.8495777033441844E-6</v>
      </c>
      <c r="AE12" s="24">
        <f t="shared" si="8"/>
        <v>5.4750787522263943E-5</v>
      </c>
      <c r="AF12" s="24" t="s">
        <v>163</v>
      </c>
      <c r="AH12" s="24" t="s">
        <v>399</v>
      </c>
    </row>
    <row r="13" spans="1:39" s="24" customFormat="1" ht="15.75" x14ac:dyDescent="0.2">
      <c r="A13" s="24">
        <v>12</v>
      </c>
      <c r="B13" s="24">
        <v>3</v>
      </c>
      <c r="C13" s="24" t="s">
        <v>389</v>
      </c>
      <c r="D13" s="24" t="s">
        <v>771</v>
      </c>
      <c r="E13" s="24" t="s">
        <v>132</v>
      </c>
      <c r="F13" s="24" t="s">
        <v>133</v>
      </c>
      <c r="G13" s="24" t="s">
        <v>168</v>
      </c>
      <c r="H13" s="24" t="s">
        <v>400</v>
      </c>
      <c r="I13" s="24" t="s">
        <v>399</v>
      </c>
      <c r="J13" s="24">
        <v>3</v>
      </c>
      <c r="K13" s="24" t="s">
        <v>159</v>
      </c>
      <c r="L13" s="24">
        <v>3</v>
      </c>
      <c r="M13" s="24">
        <v>82.651139999999998</v>
      </c>
      <c r="N13" s="24">
        <v>82.651139999999998</v>
      </c>
      <c r="O13" s="24">
        <v>6.2149900000000002</v>
      </c>
      <c r="P13" s="24">
        <f t="shared" si="2"/>
        <v>10.764678448532496</v>
      </c>
      <c r="Q13" s="24">
        <v>3</v>
      </c>
      <c r="R13" s="24">
        <v>93.527370000000005</v>
      </c>
      <c r="S13" s="24">
        <v>93.527370000000005</v>
      </c>
      <c r="T13" s="24">
        <v>5.6970699999999965</v>
      </c>
      <c r="U13" s="24">
        <f t="shared" si="3"/>
        <v>9.8676146942764174</v>
      </c>
      <c r="V13" s="24">
        <v>3</v>
      </c>
      <c r="W13" s="24" t="s">
        <v>396</v>
      </c>
      <c r="X13" s="24">
        <v>10</v>
      </c>
      <c r="Y13" s="24">
        <f t="shared" si="9"/>
        <v>0.01</v>
      </c>
      <c r="Z13" s="24" t="str">
        <f t="shared" si="4"/>
        <v>Low</v>
      </c>
      <c r="AA13" s="24" t="s">
        <v>394</v>
      </c>
      <c r="AB13" s="24">
        <f t="shared" si="5"/>
        <v>-0.1236255034557425</v>
      </c>
      <c r="AC13" s="24">
        <f t="shared" si="6"/>
        <v>5.6543563096944699E-3</v>
      </c>
      <c r="AD13" s="24">
        <f t="shared" si="7"/>
        <v>3.7104421696173076E-3</v>
      </c>
      <c r="AE13" s="24">
        <f t="shared" si="8"/>
        <v>9.3647984793117783E-3</v>
      </c>
      <c r="AF13" s="24" t="s">
        <v>163</v>
      </c>
      <c r="AH13" s="24" t="s">
        <v>399</v>
      </c>
    </row>
    <row r="14" spans="1:39" s="24" customFormat="1" ht="15.75" x14ac:dyDescent="0.2">
      <c r="A14" s="24">
        <v>13</v>
      </c>
      <c r="B14" s="24">
        <v>3</v>
      </c>
      <c r="C14" s="24" t="s">
        <v>389</v>
      </c>
      <c r="D14" s="24" t="s">
        <v>771</v>
      </c>
      <c r="E14" s="24" t="s">
        <v>132</v>
      </c>
      <c r="F14" s="24" t="s">
        <v>133</v>
      </c>
      <c r="G14" s="24" t="s">
        <v>168</v>
      </c>
      <c r="H14" s="24" t="s">
        <v>400</v>
      </c>
      <c r="I14" s="24" t="s">
        <v>399</v>
      </c>
      <c r="J14" s="24">
        <v>3</v>
      </c>
      <c r="K14" s="24" t="s">
        <v>406</v>
      </c>
      <c r="L14" s="24">
        <v>3</v>
      </c>
      <c r="M14" s="24">
        <v>78.611400000000003</v>
      </c>
      <c r="N14" s="24">
        <v>78.611400000000003</v>
      </c>
      <c r="O14" s="24">
        <v>7.9758999999999958</v>
      </c>
      <c r="P14" s="24">
        <f t="shared" si="2"/>
        <v>13.814664036088601</v>
      </c>
      <c r="Q14" s="24">
        <v>3</v>
      </c>
      <c r="R14" s="24">
        <v>89.487629999999996</v>
      </c>
      <c r="S14" s="24">
        <v>89.487629999999996</v>
      </c>
      <c r="T14" s="24">
        <v>4.039740000000009</v>
      </c>
      <c r="U14" s="24">
        <f t="shared" si="3"/>
        <v>6.9970349293683114</v>
      </c>
      <c r="V14" s="24">
        <v>3</v>
      </c>
      <c r="W14" s="24" t="s">
        <v>396</v>
      </c>
      <c r="X14" s="24">
        <v>10</v>
      </c>
      <c r="Y14" s="24">
        <f t="shared" si="9"/>
        <v>0.01</v>
      </c>
      <c r="Z14" s="24" t="str">
        <f t="shared" si="4"/>
        <v>Low</v>
      </c>
      <c r="AA14" s="24" t="s">
        <v>394</v>
      </c>
      <c r="AB14" s="24">
        <f t="shared" si="5"/>
        <v>-0.12958367635202642</v>
      </c>
      <c r="AC14" s="24">
        <f t="shared" si="6"/>
        <v>1.029409896200542E-2</v>
      </c>
      <c r="AD14" s="24">
        <f t="shared" si="7"/>
        <v>2.0378903671865595E-3</v>
      </c>
      <c r="AE14" s="24">
        <f t="shared" si="8"/>
        <v>1.2331989329191979E-2</v>
      </c>
      <c r="AF14" s="24" t="s">
        <v>163</v>
      </c>
      <c r="AH14" s="24" t="s">
        <v>399</v>
      </c>
    </row>
    <row r="15" spans="1:39" s="24" customFormat="1" ht="15.75" x14ac:dyDescent="0.2">
      <c r="A15" s="24">
        <v>14</v>
      </c>
      <c r="B15" s="24">
        <v>3</v>
      </c>
      <c r="C15" s="24" t="s">
        <v>389</v>
      </c>
      <c r="D15" s="24" t="s">
        <v>771</v>
      </c>
      <c r="E15" s="24" t="s">
        <v>132</v>
      </c>
      <c r="F15" s="24" t="s">
        <v>133</v>
      </c>
      <c r="G15" s="24" t="s">
        <v>168</v>
      </c>
      <c r="H15" s="24" t="s">
        <v>400</v>
      </c>
      <c r="I15" s="24" t="s">
        <v>399</v>
      </c>
      <c r="J15" s="24">
        <v>3</v>
      </c>
      <c r="K15" s="24" t="s">
        <v>127</v>
      </c>
      <c r="L15" s="24">
        <v>3</v>
      </c>
      <c r="M15" s="24">
        <v>99.89</v>
      </c>
      <c r="N15" s="24">
        <v>99.89</v>
      </c>
      <c r="O15" s="24">
        <v>0.1101</v>
      </c>
      <c r="P15" s="24">
        <f t="shared" si="2"/>
        <v>0.19069879391333339</v>
      </c>
      <c r="Q15" s="24">
        <v>3</v>
      </c>
      <c r="R15" s="24">
        <v>99.923500000000004</v>
      </c>
      <c r="S15" s="24">
        <v>99.923500000000004</v>
      </c>
      <c r="T15" s="24">
        <v>0.21</v>
      </c>
      <c r="U15" s="24">
        <f t="shared" si="3"/>
        <v>0.36373066958946421</v>
      </c>
      <c r="V15" s="24">
        <v>3</v>
      </c>
      <c r="W15" s="24" t="s">
        <v>396</v>
      </c>
      <c r="X15" s="24">
        <v>10</v>
      </c>
      <c r="Y15" s="24">
        <f t="shared" si="9"/>
        <v>0.01</v>
      </c>
      <c r="Z15" s="24" t="str">
        <f t="shared" si="4"/>
        <v>Low</v>
      </c>
      <c r="AA15" s="24" t="s">
        <v>394</v>
      </c>
      <c r="AB15" s="24">
        <f t="shared" si="5"/>
        <v>-3.3531268221496973E-4</v>
      </c>
      <c r="AC15" s="24">
        <f t="shared" si="6"/>
        <v>1.2148722489522737E-6</v>
      </c>
      <c r="AD15" s="24">
        <f t="shared" si="7"/>
        <v>4.4167550504316844E-6</v>
      </c>
      <c r="AE15" s="24">
        <f t="shared" si="8"/>
        <v>5.631627299383958E-6</v>
      </c>
      <c r="AF15" s="24" t="s">
        <v>163</v>
      </c>
      <c r="AH15" s="24" t="s">
        <v>399</v>
      </c>
    </row>
    <row r="16" spans="1:39" s="24" customFormat="1" ht="15.75" x14ac:dyDescent="0.2">
      <c r="A16" s="24">
        <v>15</v>
      </c>
      <c r="B16" s="24">
        <v>3</v>
      </c>
      <c r="C16" s="24" t="s">
        <v>389</v>
      </c>
      <c r="D16" s="24" t="s">
        <v>771</v>
      </c>
      <c r="E16" s="24" t="s">
        <v>132</v>
      </c>
      <c r="F16" s="24" t="s">
        <v>133</v>
      </c>
      <c r="G16" s="24" t="s">
        <v>168</v>
      </c>
      <c r="H16" s="24" t="s">
        <v>400</v>
      </c>
      <c r="I16" s="24" t="s">
        <v>399</v>
      </c>
      <c r="J16" s="24">
        <v>3</v>
      </c>
      <c r="K16" s="24" t="s">
        <v>772</v>
      </c>
      <c r="L16" s="24">
        <v>3</v>
      </c>
      <c r="M16" s="24">
        <v>94.666780000000003</v>
      </c>
      <c r="N16" s="24">
        <v>94.666780000000003</v>
      </c>
      <c r="O16" s="24">
        <v>3.4182500000000005</v>
      </c>
      <c r="P16" s="24">
        <f t="shared" si="2"/>
        <v>5.9205826729723157</v>
      </c>
      <c r="Q16" s="24">
        <v>3</v>
      </c>
      <c r="R16" s="24">
        <v>99.224440000000001</v>
      </c>
      <c r="S16" s="24">
        <v>99.224440000000001</v>
      </c>
      <c r="T16" s="24">
        <v>0.112</v>
      </c>
      <c r="U16" s="24">
        <f t="shared" si="3"/>
        <v>0.19398969044771425</v>
      </c>
      <c r="V16" s="24">
        <v>3</v>
      </c>
      <c r="W16" s="24" t="s">
        <v>396</v>
      </c>
      <c r="X16" s="24">
        <v>10</v>
      </c>
      <c r="Y16" s="24">
        <f t="shared" si="9"/>
        <v>0.01</v>
      </c>
      <c r="Z16" s="24" t="str">
        <f t="shared" si="4"/>
        <v>Low</v>
      </c>
      <c r="AA16" s="24" t="s">
        <v>394</v>
      </c>
      <c r="AB16" s="24">
        <f t="shared" si="5"/>
        <v>-4.7021208238747697E-2</v>
      </c>
      <c r="AC16" s="24">
        <f t="shared" si="6"/>
        <v>1.3038043762602679E-3</v>
      </c>
      <c r="AD16" s="24">
        <f t="shared" si="7"/>
        <v>1.2740859668296888E-6</v>
      </c>
      <c r="AE16" s="24">
        <f t="shared" si="8"/>
        <v>1.3050784622270976E-3</v>
      </c>
      <c r="AF16" s="24" t="s">
        <v>163</v>
      </c>
      <c r="AH16" s="24" t="s">
        <v>399</v>
      </c>
    </row>
    <row r="17" spans="1:35" s="24" customFormat="1" ht="15.75" x14ac:dyDescent="0.2">
      <c r="A17" s="24">
        <v>16</v>
      </c>
      <c r="B17" s="24">
        <v>3</v>
      </c>
      <c r="C17" s="24" t="s">
        <v>389</v>
      </c>
      <c r="D17" s="24" t="s">
        <v>771</v>
      </c>
      <c r="E17" s="24" t="s">
        <v>132</v>
      </c>
      <c r="F17" s="24" t="s">
        <v>133</v>
      </c>
      <c r="G17" s="24" t="s">
        <v>168</v>
      </c>
      <c r="H17" s="24" t="s">
        <v>400</v>
      </c>
      <c r="I17" s="24" t="s">
        <v>399</v>
      </c>
      <c r="J17" s="24">
        <v>3</v>
      </c>
      <c r="K17" s="24" t="s">
        <v>375</v>
      </c>
      <c r="L17" s="24">
        <v>3</v>
      </c>
      <c r="M17" s="24">
        <v>91.144959999999998</v>
      </c>
      <c r="N17" s="24">
        <v>91.144959999999998</v>
      </c>
      <c r="O17" s="24">
        <v>4.039740000000009</v>
      </c>
      <c r="P17" s="24">
        <f t="shared" si="2"/>
        <v>6.9970349293683114</v>
      </c>
      <c r="Q17" s="24">
        <v>3</v>
      </c>
      <c r="R17" s="24">
        <v>96.945610000000002</v>
      </c>
      <c r="S17" s="24">
        <v>96.945610000000002</v>
      </c>
      <c r="T17" s="24">
        <v>1.6573300000000017</v>
      </c>
      <c r="U17" s="24">
        <f t="shared" si="3"/>
        <v>2.8705797649081304</v>
      </c>
      <c r="V17" s="24">
        <v>3</v>
      </c>
      <c r="W17" s="24" t="s">
        <v>396</v>
      </c>
      <c r="X17" s="24">
        <v>10</v>
      </c>
      <c r="Y17" s="24">
        <f t="shared" si="9"/>
        <v>0.01</v>
      </c>
      <c r="Z17" s="24" t="str">
        <f t="shared" si="4"/>
        <v>Low</v>
      </c>
      <c r="AA17" s="24" t="s">
        <v>394</v>
      </c>
      <c r="AB17" s="24">
        <f t="shared" si="5"/>
        <v>-6.1698893467091002E-2</v>
      </c>
      <c r="AC17" s="24">
        <f t="shared" si="6"/>
        <v>1.9644524079146675E-3</v>
      </c>
      <c r="AD17" s="24">
        <f t="shared" si="7"/>
        <v>2.9225482387773745E-4</v>
      </c>
      <c r="AE17" s="24">
        <f t="shared" si="8"/>
        <v>2.2567072317924049E-3</v>
      </c>
      <c r="AF17" s="24" t="s">
        <v>163</v>
      </c>
      <c r="AH17" s="24" t="s">
        <v>399</v>
      </c>
    </row>
    <row r="18" spans="1:35" s="24" customFormat="1" ht="15.75" x14ac:dyDescent="0.2">
      <c r="A18" s="24">
        <v>17</v>
      </c>
      <c r="B18" s="24">
        <v>3</v>
      </c>
      <c r="C18" s="24" t="s">
        <v>389</v>
      </c>
      <c r="D18" s="24" t="s">
        <v>771</v>
      </c>
      <c r="E18" s="24" t="s">
        <v>132</v>
      </c>
      <c r="F18" s="24" t="s">
        <v>133</v>
      </c>
      <c r="G18" s="24" t="s">
        <v>168</v>
      </c>
      <c r="H18" s="24" t="s">
        <v>400</v>
      </c>
      <c r="I18" s="24" t="s">
        <v>399</v>
      </c>
      <c r="J18" s="24">
        <v>3</v>
      </c>
      <c r="K18" s="24" t="s">
        <v>773</v>
      </c>
      <c r="L18" s="24">
        <v>3</v>
      </c>
      <c r="M18" s="24">
        <v>88.348209999999995</v>
      </c>
      <c r="N18" s="24">
        <v>88.348209999999995</v>
      </c>
      <c r="O18" s="24">
        <v>0.51792000000000371</v>
      </c>
      <c r="P18" s="24">
        <f t="shared" si="2"/>
        <v>0.89706375425607932</v>
      </c>
      <c r="Q18" s="24">
        <v>3</v>
      </c>
      <c r="R18" s="24">
        <v>96.324110000000005</v>
      </c>
      <c r="S18" s="24">
        <v>96.324110000000005</v>
      </c>
      <c r="T18" s="24">
        <v>3.4182500000000005</v>
      </c>
      <c r="U18" s="24">
        <f t="shared" si="3"/>
        <v>5.9205826729723157</v>
      </c>
      <c r="V18" s="24">
        <v>3</v>
      </c>
      <c r="W18" s="24" t="s">
        <v>396</v>
      </c>
      <c r="X18" s="24">
        <v>10</v>
      </c>
      <c r="Y18" s="24">
        <f t="shared" si="9"/>
        <v>0.01</v>
      </c>
      <c r="Z18" s="24" t="str">
        <f t="shared" si="4"/>
        <v>Low</v>
      </c>
      <c r="AA18" s="24" t="s">
        <v>394</v>
      </c>
      <c r="AB18" s="24">
        <f t="shared" si="5"/>
        <v>-8.6432712683719645E-2</v>
      </c>
      <c r="AC18" s="24">
        <f t="shared" si="6"/>
        <v>3.4366068744677129E-5</v>
      </c>
      <c r="AD18" s="24">
        <f t="shared" si="7"/>
        <v>1.259324448960877E-3</v>
      </c>
      <c r="AE18" s="24">
        <f t="shared" si="8"/>
        <v>1.2936905177055541E-3</v>
      </c>
      <c r="AF18" s="24" t="s">
        <v>163</v>
      </c>
      <c r="AH18" s="24" t="s">
        <v>399</v>
      </c>
    </row>
    <row r="19" spans="1:35" s="24" customFormat="1" ht="15.75" x14ac:dyDescent="0.2">
      <c r="A19" s="24">
        <v>18</v>
      </c>
      <c r="B19" s="24">
        <v>3</v>
      </c>
      <c r="C19" s="24" t="s">
        <v>389</v>
      </c>
      <c r="D19" s="24" t="s">
        <v>771</v>
      </c>
      <c r="E19" s="24" t="s">
        <v>132</v>
      </c>
      <c r="F19" s="24" t="s">
        <v>133</v>
      </c>
      <c r="G19" s="24" t="s">
        <v>168</v>
      </c>
      <c r="H19" s="24" t="s">
        <v>400</v>
      </c>
      <c r="I19" s="24" t="s">
        <v>399</v>
      </c>
      <c r="J19" s="24">
        <v>3</v>
      </c>
      <c r="K19" s="24" t="s">
        <v>359</v>
      </c>
      <c r="L19" s="24">
        <v>3</v>
      </c>
      <c r="M19" s="24">
        <v>87.726709999999997</v>
      </c>
      <c r="N19" s="24">
        <v>87.726709999999997</v>
      </c>
      <c r="O19" s="24">
        <v>5.179159999999996</v>
      </c>
      <c r="P19" s="24">
        <f t="shared" si="2"/>
        <v>8.9705682605284185</v>
      </c>
      <c r="Q19" s="24">
        <v>3</v>
      </c>
      <c r="R19" s="24">
        <v>94.045289999999994</v>
      </c>
      <c r="S19" s="24">
        <v>94.045289999999994</v>
      </c>
      <c r="T19" s="24">
        <v>2.2788200000000103</v>
      </c>
      <c r="U19" s="24">
        <f t="shared" si="3"/>
        <v>3.9470320213041266</v>
      </c>
      <c r="V19" s="24">
        <v>3</v>
      </c>
      <c r="W19" s="24" t="s">
        <v>396</v>
      </c>
      <c r="X19" s="24">
        <v>10</v>
      </c>
      <c r="Y19" s="24">
        <f t="shared" si="9"/>
        <v>0.01</v>
      </c>
      <c r="Z19" s="24" t="str">
        <f t="shared" si="4"/>
        <v>Low</v>
      </c>
      <c r="AA19" s="24" t="s">
        <v>394</v>
      </c>
      <c r="AB19" s="24">
        <f t="shared" si="5"/>
        <v>-6.9550060735920211E-2</v>
      </c>
      <c r="AC19" s="24">
        <f t="shared" si="6"/>
        <v>3.4854188129581783E-3</v>
      </c>
      <c r="AD19" s="24">
        <f t="shared" si="7"/>
        <v>5.8714578129902327E-4</v>
      </c>
      <c r="AE19" s="24">
        <f t="shared" si="8"/>
        <v>4.0725645942572015E-3</v>
      </c>
      <c r="AF19" s="24" t="s">
        <v>163</v>
      </c>
      <c r="AH19" s="24" t="s">
        <v>399</v>
      </c>
    </row>
    <row r="20" spans="1:35" s="24" customFormat="1" ht="15.75" x14ac:dyDescent="0.2">
      <c r="A20" s="24">
        <v>19</v>
      </c>
      <c r="B20" s="24">
        <v>3</v>
      </c>
      <c r="C20" s="24" t="s">
        <v>389</v>
      </c>
      <c r="D20" s="24" t="s">
        <v>771</v>
      </c>
      <c r="E20" s="24" t="s">
        <v>132</v>
      </c>
      <c r="F20" s="24" t="s">
        <v>133</v>
      </c>
      <c r="G20" s="24" t="s">
        <v>168</v>
      </c>
      <c r="H20" s="24" t="s">
        <v>400</v>
      </c>
      <c r="I20" s="24" t="s">
        <v>399</v>
      </c>
      <c r="J20" s="24">
        <v>3</v>
      </c>
      <c r="K20" s="24" t="s">
        <v>159</v>
      </c>
      <c r="L20" s="24">
        <v>3</v>
      </c>
      <c r="M20" s="24">
        <v>80.890230000000003</v>
      </c>
      <c r="N20" s="24">
        <v>80.890230000000003</v>
      </c>
      <c r="O20" s="24">
        <v>6.318569999999994</v>
      </c>
      <c r="P20" s="24">
        <f t="shared" si="2"/>
        <v>10.94408427118047</v>
      </c>
      <c r="Q20" s="24">
        <v>3</v>
      </c>
      <c r="R20" s="24">
        <v>93.527370000000005</v>
      </c>
      <c r="S20" s="24">
        <v>93.527370000000005</v>
      </c>
      <c r="T20" s="24">
        <v>5.075569999999999</v>
      </c>
      <c r="U20" s="24">
        <f t="shared" si="3"/>
        <v>8.7911451173723645</v>
      </c>
      <c r="V20" s="24">
        <v>3</v>
      </c>
      <c r="W20" s="24" t="s">
        <v>396</v>
      </c>
      <c r="X20" s="24">
        <v>10</v>
      </c>
      <c r="Y20" s="24">
        <f t="shared" si="9"/>
        <v>0.01</v>
      </c>
      <c r="Z20" s="24" t="str">
        <f t="shared" si="4"/>
        <v>Low</v>
      </c>
      <c r="AA20" s="24" t="s">
        <v>394</v>
      </c>
      <c r="AB20" s="24">
        <f t="shared" si="5"/>
        <v>-0.14516107033774481</v>
      </c>
      <c r="AC20" s="24">
        <f t="shared" si="6"/>
        <v>6.1016242831688442E-3</v>
      </c>
      <c r="AD20" s="24">
        <f t="shared" si="7"/>
        <v>2.9450467911212577E-3</v>
      </c>
      <c r="AE20" s="24">
        <f t="shared" si="8"/>
        <v>9.046671074290101E-3</v>
      </c>
      <c r="AF20" s="24" t="s">
        <v>163</v>
      </c>
      <c r="AH20" s="24" t="s">
        <v>399</v>
      </c>
    </row>
    <row r="21" spans="1:35" s="24" customFormat="1" ht="15.75" x14ac:dyDescent="0.2">
      <c r="A21" s="24">
        <v>20</v>
      </c>
      <c r="B21" s="24">
        <v>3</v>
      </c>
      <c r="C21" s="24" t="s">
        <v>389</v>
      </c>
      <c r="D21" s="24" t="s">
        <v>771</v>
      </c>
      <c r="E21" s="24" t="s">
        <v>132</v>
      </c>
      <c r="F21" s="24" t="s">
        <v>133</v>
      </c>
      <c r="G21" s="24" t="s">
        <v>168</v>
      </c>
      <c r="H21" s="24" t="s">
        <v>400</v>
      </c>
      <c r="I21" s="24" t="s">
        <v>399</v>
      </c>
      <c r="J21" s="24">
        <v>3</v>
      </c>
      <c r="K21" s="24" t="s">
        <v>406</v>
      </c>
      <c r="L21" s="24">
        <v>3</v>
      </c>
      <c r="M21" s="24">
        <v>77.989900000000006</v>
      </c>
      <c r="N21" s="24">
        <v>77.989900000000006</v>
      </c>
      <c r="O21" s="24">
        <v>6.318569999999994</v>
      </c>
      <c r="P21" s="24">
        <f t="shared" si="2"/>
        <v>10.94408427118047</v>
      </c>
      <c r="Q21" s="24">
        <v>3</v>
      </c>
      <c r="R21" s="24">
        <v>89.487629999999996</v>
      </c>
      <c r="S21" s="24">
        <v>89.487629999999996</v>
      </c>
      <c r="T21" s="24">
        <v>5.179150000000007</v>
      </c>
      <c r="U21" s="24">
        <f t="shared" si="3"/>
        <v>8.9705509400203631</v>
      </c>
      <c r="V21" s="24">
        <v>3</v>
      </c>
      <c r="W21" s="24" t="s">
        <v>396</v>
      </c>
      <c r="X21" s="24">
        <v>10</v>
      </c>
      <c r="Y21" s="24">
        <f t="shared" si="9"/>
        <v>0.01</v>
      </c>
      <c r="Z21" s="24" t="str">
        <f t="shared" si="4"/>
        <v>Low</v>
      </c>
      <c r="AA21" s="24" t="s">
        <v>394</v>
      </c>
      <c r="AB21" s="24">
        <f t="shared" si="5"/>
        <v>-0.13752107231219196</v>
      </c>
      <c r="AC21" s="24">
        <f t="shared" si="6"/>
        <v>6.5638836670650841E-3</v>
      </c>
      <c r="AD21" s="24">
        <f t="shared" si="7"/>
        <v>3.3495847146992708E-3</v>
      </c>
      <c r="AE21" s="24">
        <f t="shared" si="8"/>
        <v>9.9134683817643544E-3</v>
      </c>
      <c r="AF21" s="24" t="s">
        <v>163</v>
      </c>
      <c r="AH21" s="24" t="s">
        <v>399</v>
      </c>
    </row>
    <row r="22" spans="1:35" s="29" customFormat="1" ht="15.75" x14ac:dyDescent="0.2">
      <c r="A22" s="29">
        <v>21</v>
      </c>
      <c r="B22" s="29">
        <v>4</v>
      </c>
      <c r="C22" s="29" t="s">
        <v>424</v>
      </c>
      <c r="D22" s="29" t="s">
        <v>425</v>
      </c>
      <c r="E22" s="29" t="s">
        <v>426</v>
      </c>
      <c r="F22" s="29" t="s">
        <v>133</v>
      </c>
      <c r="G22" s="29" t="s">
        <v>168</v>
      </c>
      <c r="H22" s="29" t="s">
        <v>431</v>
      </c>
      <c r="I22" s="29" t="s">
        <v>399</v>
      </c>
      <c r="J22" s="29">
        <v>4</v>
      </c>
      <c r="K22" s="29" t="s">
        <v>432</v>
      </c>
      <c r="L22" s="29">
        <v>3</v>
      </c>
      <c r="M22" s="29">
        <v>91.979429999999994</v>
      </c>
      <c r="N22" s="29">
        <v>91.979429999999994</v>
      </c>
      <c r="P22" s="29">
        <v>0.68891000000000702</v>
      </c>
      <c r="Q22" s="29">
        <v>3</v>
      </c>
      <c r="R22" s="29">
        <v>97.146249999999995</v>
      </c>
      <c r="S22" s="29">
        <v>97.146249999999995</v>
      </c>
      <c r="U22" s="29">
        <v>0.2</v>
      </c>
      <c r="V22" s="29">
        <v>3</v>
      </c>
      <c r="W22" s="29" t="s">
        <v>435</v>
      </c>
      <c r="X22" s="29">
        <v>3</v>
      </c>
      <c r="Y22" s="29">
        <f t="shared" ref="Y22:Y27" si="10">X22 / 1000</f>
        <v>3.0000000000000001E-3</v>
      </c>
      <c r="Z22" s="29" t="str">
        <f t="shared" si="4"/>
        <v>Low</v>
      </c>
      <c r="AA22" s="29" t="s">
        <v>430</v>
      </c>
      <c r="AB22" s="29">
        <f t="shared" si="5"/>
        <v>-5.4652609882283765E-2</v>
      </c>
      <c r="AC22" s="29">
        <f t="shared" si="6"/>
        <v>1.8699168505451991E-5</v>
      </c>
      <c r="AD22" s="29">
        <f t="shared" si="7"/>
        <v>1.4128194171047632E-6</v>
      </c>
      <c r="AE22" s="29">
        <f t="shared" si="8"/>
        <v>2.0111987922556754E-5</v>
      </c>
      <c r="AF22" s="29" t="s">
        <v>427</v>
      </c>
      <c r="AH22" s="29" t="s">
        <v>399</v>
      </c>
    </row>
    <row r="23" spans="1:35" s="29" customFormat="1" ht="15.75" x14ac:dyDescent="0.2">
      <c r="A23" s="29">
        <v>22</v>
      </c>
      <c r="B23" s="29">
        <v>4</v>
      </c>
      <c r="C23" s="29" t="s">
        <v>424</v>
      </c>
      <c r="D23" s="29" t="s">
        <v>425</v>
      </c>
      <c r="E23" s="29" t="s">
        <v>426</v>
      </c>
      <c r="F23" s="29" t="s">
        <v>133</v>
      </c>
      <c r="G23" s="29" t="s">
        <v>168</v>
      </c>
      <c r="H23" s="29" t="s">
        <v>431</v>
      </c>
      <c r="I23" s="29" t="s">
        <v>399</v>
      </c>
      <c r="J23" s="29">
        <v>4</v>
      </c>
      <c r="K23" s="29" t="s">
        <v>433</v>
      </c>
      <c r="L23" s="29">
        <v>3</v>
      </c>
      <c r="M23" s="29">
        <v>91.708789999999993</v>
      </c>
      <c r="N23" s="29">
        <v>91.708789999999993</v>
      </c>
      <c r="P23" s="29">
        <v>0.1</v>
      </c>
      <c r="Q23" s="29">
        <v>3</v>
      </c>
      <c r="R23" s="29">
        <v>96.186700000000002</v>
      </c>
      <c r="S23" s="29">
        <v>96.186700000000002</v>
      </c>
      <c r="U23" s="29">
        <v>0.1</v>
      </c>
      <c r="V23" s="29">
        <v>3</v>
      </c>
      <c r="W23" s="29" t="s">
        <v>435</v>
      </c>
      <c r="X23" s="29">
        <v>3</v>
      </c>
      <c r="Y23" s="29">
        <f t="shared" si="10"/>
        <v>3.0000000000000001E-3</v>
      </c>
      <c r="Z23" s="29" t="str">
        <f t="shared" si="4"/>
        <v>Low</v>
      </c>
      <c r="AA23" s="29" t="s">
        <v>430</v>
      </c>
      <c r="AB23" s="29">
        <f t="shared" si="5"/>
        <v>-4.7672863754626121E-2</v>
      </c>
      <c r="AC23" s="29">
        <f t="shared" si="6"/>
        <v>3.9632988240498524E-7</v>
      </c>
      <c r="AD23" s="29">
        <f t="shared" si="7"/>
        <v>3.6028708548879785E-7</v>
      </c>
      <c r="AE23" s="29">
        <f>SUM(AC23,AD23)</f>
        <v>7.5661696789378315E-7</v>
      </c>
      <c r="AF23" s="29" t="s">
        <v>427</v>
      </c>
      <c r="AH23" s="29" t="s">
        <v>399</v>
      </c>
    </row>
    <row r="24" spans="1:35" s="29" customFormat="1" ht="15.75" x14ac:dyDescent="0.2">
      <c r="A24" s="29">
        <v>23</v>
      </c>
      <c r="B24" s="29">
        <v>4</v>
      </c>
      <c r="C24" s="29" t="s">
        <v>424</v>
      </c>
      <c r="D24" s="29" t="s">
        <v>425</v>
      </c>
      <c r="E24" s="29" t="s">
        <v>426</v>
      </c>
      <c r="F24" s="29" t="s">
        <v>133</v>
      </c>
      <c r="G24" s="29" t="s">
        <v>168</v>
      </c>
      <c r="H24" s="29" t="s">
        <v>431</v>
      </c>
      <c r="I24" s="29" t="s">
        <v>399</v>
      </c>
      <c r="J24" s="29">
        <v>4</v>
      </c>
      <c r="K24" s="29" t="s">
        <v>432</v>
      </c>
      <c r="L24" s="29">
        <v>3</v>
      </c>
      <c r="M24" s="29">
        <v>92.520719999999997</v>
      </c>
      <c r="N24" s="29">
        <v>92.520719999999997</v>
      </c>
      <c r="P24" s="29">
        <v>0.1142</v>
      </c>
      <c r="Q24" s="29">
        <v>3</v>
      </c>
      <c r="R24" s="29">
        <v>97.146249999999995</v>
      </c>
      <c r="S24" s="29">
        <v>97.146249999999995</v>
      </c>
      <c r="U24" s="29">
        <v>0.13200000000000001</v>
      </c>
      <c r="V24" s="29">
        <v>3</v>
      </c>
      <c r="W24" s="29" t="s">
        <v>435</v>
      </c>
      <c r="X24" s="29">
        <v>3</v>
      </c>
      <c r="Y24" s="29">
        <f t="shared" si="10"/>
        <v>3.0000000000000001E-3</v>
      </c>
      <c r="Z24" s="29" t="str">
        <f t="shared" si="4"/>
        <v>Low</v>
      </c>
      <c r="AA24" s="29" t="s">
        <v>430</v>
      </c>
      <c r="AB24" s="29">
        <f t="shared" si="5"/>
        <v>-4.8784955541386982E-2</v>
      </c>
      <c r="AC24" s="29">
        <f t="shared" si="6"/>
        <v>5.078470633679406E-7</v>
      </c>
      <c r="AD24" s="29">
        <f t="shared" si="7"/>
        <v>6.1542413809083482E-7</v>
      </c>
      <c r="AE24" s="29">
        <f t="shared" si="8"/>
        <v>1.1232712014587754E-6</v>
      </c>
      <c r="AF24" s="29" t="s">
        <v>428</v>
      </c>
      <c r="AH24" s="29" t="s">
        <v>399</v>
      </c>
    </row>
    <row r="25" spans="1:35" s="29" customFormat="1" ht="15.75" x14ac:dyDescent="0.2">
      <c r="A25" s="29">
        <v>24</v>
      </c>
      <c r="B25" s="29">
        <v>4</v>
      </c>
      <c r="C25" s="29" t="s">
        <v>424</v>
      </c>
      <c r="D25" s="29" t="s">
        <v>425</v>
      </c>
      <c r="E25" s="29" t="s">
        <v>426</v>
      </c>
      <c r="F25" s="29" t="s">
        <v>133</v>
      </c>
      <c r="G25" s="29" t="s">
        <v>168</v>
      </c>
      <c r="H25" s="29" t="s">
        <v>431</v>
      </c>
      <c r="I25" s="29" t="s">
        <v>399</v>
      </c>
      <c r="J25" s="29">
        <v>4</v>
      </c>
      <c r="K25" s="29" t="s">
        <v>433</v>
      </c>
      <c r="L25" s="29">
        <v>3</v>
      </c>
      <c r="M25" s="29">
        <v>90.4786</v>
      </c>
      <c r="N25" s="29">
        <v>90.4786</v>
      </c>
      <c r="P25" s="29">
        <v>1.5008299999999934</v>
      </c>
      <c r="Q25" s="29">
        <v>3</v>
      </c>
      <c r="R25" s="29">
        <v>96.186700000000002</v>
      </c>
      <c r="S25" s="29">
        <v>96.186700000000002</v>
      </c>
      <c r="U25" s="29">
        <v>0.125</v>
      </c>
      <c r="V25" s="29">
        <v>3</v>
      </c>
      <c r="W25" s="29" t="s">
        <v>435</v>
      </c>
      <c r="X25" s="29">
        <v>3</v>
      </c>
      <c r="Y25" s="29">
        <f t="shared" si="10"/>
        <v>3.0000000000000001E-3</v>
      </c>
      <c r="Z25" s="29" t="str">
        <f t="shared" si="4"/>
        <v>Low</v>
      </c>
      <c r="AA25" s="29" t="s">
        <v>430</v>
      </c>
      <c r="AB25" s="29">
        <f t="shared" si="5"/>
        <v>-6.1177735820049983E-2</v>
      </c>
      <c r="AC25" s="29">
        <f t="shared" si="6"/>
        <v>9.1717034814962412E-5</v>
      </c>
      <c r="AD25" s="29">
        <f t="shared" si="7"/>
        <v>5.6294857107624646E-7</v>
      </c>
      <c r="AE25" s="29">
        <f t="shared" si="8"/>
        <v>9.2279983386038658E-5</v>
      </c>
      <c r="AF25" s="29" t="s">
        <v>428</v>
      </c>
      <c r="AH25" s="29" t="s">
        <v>399</v>
      </c>
    </row>
    <row r="26" spans="1:35" s="29" customFormat="1" ht="15.75" x14ac:dyDescent="0.2">
      <c r="A26" s="29">
        <v>25</v>
      </c>
      <c r="B26" s="29">
        <v>4</v>
      </c>
      <c r="C26" s="29" t="s">
        <v>424</v>
      </c>
      <c r="D26" s="29" t="s">
        <v>425</v>
      </c>
      <c r="E26" s="29" t="s">
        <v>426</v>
      </c>
      <c r="F26" s="29" t="s">
        <v>133</v>
      </c>
      <c r="G26" s="29" t="s">
        <v>168</v>
      </c>
      <c r="H26" s="29" t="s">
        <v>431</v>
      </c>
      <c r="I26" s="29" t="s">
        <v>399</v>
      </c>
      <c r="J26" s="29">
        <v>4</v>
      </c>
      <c r="K26" s="29" t="s">
        <v>432</v>
      </c>
      <c r="L26" s="29">
        <v>3</v>
      </c>
      <c r="M26" s="29">
        <v>83.540300000000002</v>
      </c>
      <c r="N26" s="29">
        <v>83.540300000000002</v>
      </c>
      <c r="P26" s="29">
        <v>0.14762000000000342</v>
      </c>
      <c r="Q26" s="29">
        <v>3</v>
      </c>
      <c r="R26" s="29">
        <v>97.146249999999995</v>
      </c>
      <c r="S26" s="29">
        <v>97.146249999999995</v>
      </c>
      <c r="U26" s="29">
        <v>0.14319999999999999</v>
      </c>
      <c r="V26" s="29">
        <v>3</v>
      </c>
      <c r="W26" s="29" t="s">
        <v>435</v>
      </c>
      <c r="X26" s="29">
        <v>3</v>
      </c>
      <c r="Y26" s="29">
        <f t="shared" si="10"/>
        <v>3.0000000000000001E-3</v>
      </c>
      <c r="Z26" s="29" t="str">
        <f t="shared" si="4"/>
        <v>Low</v>
      </c>
      <c r="AA26" s="29" t="s">
        <v>430</v>
      </c>
      <c r="AB26" s="29">
        <f t="shared" si="5"/>
        <v>-0.15088842481884426</v>
      </c>
      <c r="AC26" s="29">
        <f t="shared" si="6"/>
        <v>1.0408234926680252E-6</v>
      </c>
      <c r="AD26" s="29">
        <f t="shared" si="7"/>
        <v>7.2429035109525938E-7</v>
      </c>
      <c r="AE26" s="29">
        <f t="shared" si="8"/>
        <v>1.7651138437632844E-6</v>
      </c>
      <c r="AF26" s="29" t="s">
        <v>429</v>
      </c>
      <c r="AH26" s="29" t="s">
        <v>399</v>
      </c>
    </row>
    <row r="27" spans="1:35" s="29" customFormat="1" ht="15.75" x14ac:dyDescent="0.2">
      <c r="A27" s="29">
        <v>26</v>
      </c>
      <c r="B27" s="29">
        <v>4</v>
      </c>
      <c r="C27" s="29" t="s">
        <v>424</v>
      </c>
      <c r="D27" s="29" t="s">
        <v>425</v>
      </c>
      <c r="E27" s="29" t="s">
        <v>426</v>
      </c>
      <c r="F27" s="29" t="s">
        <v>133</v>
      </c>
      <c r="G27" s="29" t="s">
        <v>168</v>
      </c>
      <c r="H27" s="29" t="s">
        <v>431</v>
      </c>
      <c r="I27" s="29" t="s">
        <v>399</v>
      </c>
      <c r="J27" s="29">
        <v>4</v>
      </c>
      <c r="K27" s="29" t="s">
        <v>433</v>
      </c>
      <c r="L27" s="29">
        <v>3</v>
      </c>
      <c r="M27" s="29">
        <v>81.104510000000005</v>
      </c>
      <c r="N27" s="29">
        <v>81.104510000000005</v>
      </c>
      <c r="P27" s="29">
        <v>1.5008399999999966</v>
      </c>
      <c r="Q27" s="29">
        <v>3</v>
      </c>
      <c r="R27" s="29">
        <v>96.186700000000002</v>
      </c>
      <c r="S27" s="29">
        <v>96.186700000000002</v>
      </c>
      <c r="U27" s="29">
        <v>1.2E-2</v>
      </c>
      <c r="V27" s="29">
        <v>3</v>
      </c>
      <c r="W27" s="29" t="s">
        <v>435</v>
      </c>
      <c r="X27" s="29">
        <v>3</v>
      </c>
      <c r="Y27" s="29">
        <f t="shared" si="10"/>
        <v>3.0000000000000001E-3</v>
      </c>
      <c r="Z27" s="29" t="str">
        <f t="shared" si="4"/>
        <v>Low</v>
      </c>
      <c r="AA27" s="29" t="s">
        <v>500</v>
      </c>
      <c r="AB27" s="29">
        <f t="shared" si="5"/>
        <v>-0.17055252454274003</v>
      </c>
      <c r="AC27" s="29">
        <f t="shared" si="6"/>
        <v>1.1414516689865345E-4</v>
      </c>
      <c r="AD27" s="29">
        <f t="shared" si="7"/>
        <v>5.1881340310386881E-9</v>
      </c>
      <c r="AE27" s="29">
        <f t="shared" si="8"/>
        <v>1.141503550326845E-4</v>
      </c>
      <c r="AF27" s="29" t="s">
        <v>429</v>
      </c>
      <c r="AH27" s="29" t="s">
        <v>399</v>
      </c>
    </row>
    <row r="28" spans="1:35" s="30" customFormat="1" ht="15.75" x14ac:dyDescent="0.2">
      <c r="A28" s="30">
        <v>27</v>
      </c>
      <c r="B28" s="30">
        <v>5</v>
      </c>
      <c r="C28" s="30" t="s">
        <v>446</v>
      </c>
      <c r="D28" s="30" t="s">
        <v>62</v>
      </c>
      <c r="E28" s="30" t="s">
        <v>448</v>
      </c>
      <c r="F28" s="30" t="s">
        <v>447</v>
      </c>
      <c r="G28" s="30" t="s">
        <v>168</v>
      </c>
      <c r="H28" s="30" t="s">
        <v>400</v>
      </c>
      <c r="I28" s="30" t="s">
        <v>399</v>
      </c>
      <c r="J28" s="30">
        <v>5</v>
      </c>
      <c r="K28" s="30" t="s">
        <v>455</v>
      </c>
      <c r="L28" s="30">
        <v>3</v>
      </c>
      <c r="M28" s="30">
        <v>96.570210000000003</v>
      </c>
      <c r="N28" s="30">
        <v>96.570210000000003</v>
      </c>
      <c r="O28" s="30">
        <v>2.9828899999999976</v>
      </c>
      <c r="P28" s="30">
        <f xml:space="preserve"> O28*SQRT(L28)</f>
        <v>5.1665170333891242</v>
      </c>
      <c r="Q28" s="30">
        <v>3</v>
      </c>
      <c r="R28" s="30">
        <v>100.25693</v>
      </c>
      <c r="S28" s="30">
        <v>100.25693</v>
      </c>
      <c r="T28" s="30">
        <v>4.3905500000000046</v>
      </c>
      <c r="U28" s="30">
        <f xml:space="preserve"> T28*SQRT(Q28)</f>
        <v>7.6046556731715418</v>
      </c>
      <c r="V28" s="30">
        <v>3</v>
      </c>
      <c r="W28" s="30" t="s">
        <v>451</v>
      </c>
      <c r="X28" s="30">
        <v>4</v>
      </c>
      <c r="Y28" s="30">
        <f>X28* 1000 / 1000000</f>
        <v>4.0000000000000001E-3</v>
      </c>
      <c r="Z28" s="30" t="str">
        <f t="shared" si="4"/>
        <v>Low</v>
      </c>
      <c r="AA28" s="30" t="s">
        <v>449</v>
      </c>
      <c r="AB28" s="30">
        <f t="shared" si="5"/>
        <v>-3.7465882414706268E-2</v>
      </c>
      <c r="AC28" s="30">
        <f t="shared" si="6"/>
        <v>9.5408732155027832E-4</v>
      </c>
      <c r="AD28" s="30">
        <f t="shared" si="7"/>
        <v>1.9178253328494784E-3</v>
      </c>
      <c r="AE28" s="30">
        <f t="shared" si="8"/>
        <v>2.8719126543997565E-3</v>
      </c>
      <c r="AF28" s="30" t="s">
        <v>450</v>
      </c>
      <c r="AH28" s="30" t="s">
        <v>698</v>
      </c>
    </row>
    <row r="29" spans="1:35" s="30" customFormat="1" ht="15.75" x14ac:dyDescent="0.2">
      <c r="A29" s="30">
        <v>28</v>
      </c>
      <c r="B29" s="30">
        <v>5</v>
      </c>
      <c r="C29" s="30" t="s">
        <v>446</v>
      </c>
      <c r="D29" s="30" t="s">
        <v>62</v>
      </c>
      <c r="E29" s="30" t="s">
        <v>448</v>
      </c>
      <c r="F29" s="30" t="s">
        <v>447</v>
      </c>
      <c r="G29" s="30" t="s">
        <v>168</v>
      </c>
      <c r="H29" s="30" t="s">
        <v>400</v>
      </c>
      <c r="I29" s="30" t="s">
        <v>399</v>
      </c>
      <c r="J29" s="30">
        <v>5</v>
      </c>
      <c r="K29" s="30" t="s">
        <v>455</v>
      </c>
      <c r="L29" s="30">
        <v>3</v>
      </c>
      <c r="M29" s="30">
        <v>99.68</v>
      </c>
      <c r="N29" s="30">
        <v>99.68</v>
      </c>
      <c r="O29" s="30">
        <v>5.4295400000000029</v>
      </c>
      <c r="P29" s="30">
        <f t="shared" ref="P29:P41" si="11" xml:space="preserve"> O29*SQRT(L29)</f>
        <v>9.4042391417275262</v>
      </c>
      <c r="Q29" s="30">
        <v>3</v>
      </c>
      <c r="R29" s="30">
        <v>100.25693</v>
      </c>
      <c r="S29" s="30">
        <v>100.25693</v>
      </c>
      <c r="T29" s="30">
        <v>4.3905500000000046</v>
      </c>
      <c r="U29" s="30">
        <f t="shared" ref="U29:U41" si="12" xml:space="preserve"> T29*SQRT(Q29)</f>
        <v>7.6046556731715418</v>
      </c>
      <c r="V29" s="30">
        <v>3</v>
      </c>
      <c r="W29" s="30" t="s">
        <v>452</v>
      </c>
      <c r="X29" s="30">
        <v>20</v>
      </c>
      <c r="Y29" s="30">
        <f>X29* 1000 / 1000000</f>
        <v>0.02</v>
      </c>
      <c r="Z29" s="30" t="str">
        <f t="shared" si="4"/>
        <v>Low</v>
      </c>
      <c r="AA29" s="30" t="s">
        <v>449</v>
      </c>
      <c r="AB29" s="30">
        <f t="shared" si="5"/>
        <v>-5.7711359404068055E-3</v>
      </c>
      <c r="AC29" s="30">
        <f t="shared" si="6"/>
        <v>2.9669485503289522E-3</v>
      </c>
      <c r="AD29" s="30">
        <f t="shared" si="7"/>
        <v>1.9178253328494784E-3</v>
      </c>
      <c r="AE29" s="30">
        <f t="shared" si="8"/>
        <v>4.8847738831784308E-3</v>
      </c>
      <c r="AF29" s="30" t="s">
        <v>450</v>
      </c>
      <c r="AH29" s="30" t="s">
        <v>698</v>
      </c>
    </row>
    <row r="30" spans="1:35" s="30" customFormat="1" ht="15.75" x14ac:dyDescent="0.2">
      <c r="A30" s="30">
        <v>29</v>
      </c>
      <c r="B30" s="30">
        <v>5</v>
      </c>
      <c r="C30" s="30" t="s">
        <v>446</v>
      </c>
      <c r="D30" s="30" t="s">
        <v>62</v>
      </c>
      <c r="E30" s="30" t="s">
        <v>448</v>
      </c>
      <c r="F30" s="30" t="s">
        <v>447</v>
      </c>
      <c r="G30" s="30" t="s">
        <v>168</v>
      </c>
      <c r="H30" s="30" t="s">
        <v>400</v>
      </c>
      <c r="I30" s="30" t="s">
        <v>399</v>
      </c>
      <c r="J30" s="30">
        <v>5</v>
      </c>
      <c r="K30" s="30" t="s">
        <v>455</v>
      </c>
      <c r="L30" s="30">
        <v>3</v>
      </c>
      <c r="M30" s="30">
        <v>93.587310000000002</v>
      </c>
      <c r="N30" s="30">
        <v>93.587310000000002</v>
      </c>
      <c r="O30" s="30">
        <v>8.0772800000000018</v>
      </c>
      <c r="P30" s="30">
        <f t="shared" si="11"/>
        <v>13.990259346959943</v>
      </c>
      <c r="Q30" s="30">
        <v>3</v>
      </c>
      <c r="R30" s="30">
        <v>100.25693</v>
      </c>
      <c r="S30" s="30">
        <v>100.25693</v>
      </c>
      <c r="T30" s="30">
        <v>4.3905500000000046</v>
      </c>
      <c r="U30" s="30">
        <f t="shared" si="12"/>
        <v>7.6046556731715418</v>
      </c>
      <c r="V30" s="30">
        <v>3</v>
      </c>
      <c r="W30" s="30" t="s">
        <v>453</v>
      </c>
      <c r="X30" s="30">
        <v>100</v>
      </c>
      <c r="Y30" s="30">
        <f>X30* 1000 / 1000000</f>
        <v>0.1</v>
      </c>
      <c r="Z30" s="30" t="str">
        <f t="shared" si="4"/>
        <v>Low</v>
      </c>
      <c r="AA30" s="30" t="s">
        <v>449</v>
      </c>
      <c r="AB30" s="30">
        <f t="shared" si="5"/>
        <v>-6.8841393610462223E-2</v>
      </c>
      <c r="AC30" s="30">
        <f t="shared" si="6"/>
        <v>7.4489720919375391E-3</v>
      </c>
      <c r="AD30" s="30">
        <f t="shared" si="7"/>
        <v>1.9178253328494784E-3</v>
      </c>
      <c r="AE30" s="30">
        <f t="shared" si="8"/>
        <v>9.3667974247870177E-3</v>
      </c>
      <c r="AF30" s="30" t="s">
        <v>450</v>
      </c>
      <c r="AH30" s="30" t="s">
        <v>698</v>
      </c>
    </row>
    <row r="31" spans="1:35" s="30" customFormat="1" ht="15.75" x14ac:dyDescent="0.2">
      <c r="A31" s="30">
        <v>30</v>
      </c>
      <c r="B31" s="30">
        <v>5</v>
      </c>
      <c r="C31" s="30" t="s">
        <v>446</v>
      </c>
      <c r="D31" s="30" t="s">
        <v>62</v>
      </c>
      <c r="E31" s="30" t="s">
        <v>448</v>
      </c>
      <c r="F31" s="30" t="s">
        <v>447</v>
      </c>
      <c r="G31" s="30" t="s">
        <v>168</v>
      </c>
      <c r="H31" s="30" t="s">
        <v>400</v>
      </c>
      <c r="I31" s="30" t="s">
        <v>399</v>
      </c>
      <c r="J31" s="30">
        <v>5</v>
      </c>
      <c r="K31" s="30" t="s">
        <v>455</v>
      </c>
      <c r="L31" s="30">
        <v>3</v>
      </c>
      <c r="M31" s="30">
        <v>96.905370000000005</v>
      </c>
      <c r="N31" s="30">
        <v>96.905370000000005</v>
      </c>
      <c r="O31" s="30">
        <v>3.5191399999999931</v>
      </c>
      <c r="P31" s="30">
        <f t="shared" si="11"/>
        <v>6.0953292789479265</v>
      </c>
      <c r="Q31" s="30">
        <v>3</v>
      </c>
      <c r="R31" s="30">
        <v>100.25693</v>
      </c>
      <c r="S31" s="30">
        <v>100.25693</v>
      </c>
      <c r="T31" s="30">
        <v>4.3905500000000046</v>
      </c>
      <c r="U31" s="30">
        <f t="shared" si="12"/>
        <v>7.6046556731715418</v>
      </c>
      <c r="V31" s="30">
        <v>3</v>
      </c>
      <c r="W31" s="30" t="s">
        <v>454</v>
      </c>
      <c r="X31" s="30">
        <v>500</v>
      </c>
      <c r="Y31" s="30">
        <f>X31* 1000 / 1000000</f>
        <v>0.5</v>
      </c>
      <c r="Z31" s="30" t="str">
        <f t="shared" si="4"/>
        <v>Low</v>
      </c>
      <c r="AA31" s="30" t="s">
        <v>449</v>
      </c>
      <c r="AB31" s="30">
        <f t="shared" si="5"/>
        <v>-3.400125566169114E-2</v>
      </c>
      <c r="AC31" s="30">
        <f t="shared" si="6"/>
        <v>1.3187953305149778E-3</v>
      </c>
      <c r="AD31" s="30">
        <f t="shared" si="7"/>
        <v>1.9178253328494784E-3</v>
      </c>
      <c r="AE31" s="30">
        <f t="shared" si="8"/>
        <v>3.2366206633644562E-3</v>
      </c>
      <c r="AF31" s="30" t="s">
        <v>450</v>
      </c>
      <c r="AH31" s="30" t="s">
        <v>698</v>
      </c>
    </row>
    <row r="32" spans="1:35" s="33" customFormat="1" ht="15.75" x14ac:dyDescent="0.2">
      <c r="A32" s="33">
        <v>31</v>
      </c>
      <c r="B32" s="33">
        <v>6</v>
      </c>
      <c r="C32" s="33" t="s">
        <v>628</v>
      </c>
      <c r="D32" s="33" t="s">
        <v>629</v>
      </c>
      <c r="E32" s="33" t="s">
        <v>630</v>
      </c>
      <c r="F32" s="33" t="s">
        <v>133</v>
      </c>
      <c r="G32" s="33" t="s">
        <v>168</v>
      </c>
      <c r="H32" s="33" t="s">
        <v>631</v>
      </c>
      <c r="I32" s="33" t="s">
        <v>398</v>
      </c>
      <c r="J32" s="33">
        <v>6</v>
      </c>
      <c r="K32" s="33" t="s">
        <v>495</v>
      </c>
      <c r="L32" s="33">
        <v>4</v>
      </c>
      <c r="M32" s="33">
        <f>1-(N32/100)</f>
        <v>0.8375089</v>
      </c>
      <c r="N32" s="33">
        <v>16.249110000000002</v>
      </c>
      <c r="O32" s="33">
        <f>2.57693/100</f>
        <v>2.5769299999999998E-2</v>
      </c>
      <c r="P32" s="33">
        <f t="shared" si="11"/>
        <v>5.1538599999999997E-2</v>
      </c>
      <c r="Q32" s="33">
        <v>4</v>
      </c>
      <c r="R32" s="33">
        <f>1-(S32/100)</f>
        <v>0.95947320000000003</v>
      </c>
      <c r="S32" s="33">
        <v>4.0526799999999996</v>
      </c>
      <c r="T32" s="33">
        <f>1.50455/100</f>
        <v>1.50455E-2</v>
      </c>
      <c r="U32" s="33">
        <f t="shared" si="12"/>
        <v>3.0091E-2</v>
      </c>
      <c r="V32" s="33">
        <v>4</v>
      </c>
      <c r="W32" s="33" t="s">
        <v>774</v>
      </c>
      <c r="X32" s="33">
        <v>2.1999999999999998E-9</v>
      </c>
      <c r="Y32" s="33">
        <f>X32 * 1000</f>
        <v>2.1999999999999997E-6</v>
      </c>
      <c r="Z32" s="33" t="str">
        <f t="shared" si="4"/>
        <v>Low</v>
      </c>
      <c r="AA32" s="33" t="s">
        <v>351</v>
      </c>
      <c r="AB32" s="33">
        <f t="shared" si="5"/>
        <v>-0.13595249333506854</v>
      </c>
      <c r="AC32" s="33">
        <f t="shared" si="6"/>
        <v>9.4673052746489111E-4</v>
      </c>
      <c r="AD32" s="33">
        <f t="shared" si="7"/>
        <v>2.4589378554116506E-4</v>
      </c>
      <c r="AE32" s="33">
        <f t="shared" si="8"/>
        <v>1.1926243130060562E-3</v>
      </c>
      <c r="AF32" s="33" t="s">
        <v>632</v>
      </c>
      <c r="AH32" s="33" t="s">
        <v>614</v>
      </c>
      <c r="AI32" s="33" t="s">
        <v>697</v>
      </c>
    </row>
    <row r="33" spans="1:35" s="33" customFormat="1" ht="15.75" x14ac:dyDescent="0.2">
      <c r="A33" s="33">
        <v>32</v>
      </c>
      <c r="B33" s="33">
        <v>6</v>
      </c>
      <c r="C33" s="33" t="s">
        <v>628</v>
      </c>
      <c r="D33" s="33" t="s">
        <v>629</v>
      </c>
      <c r="E33" s="33" t="s">
        <v>630</v>
      </c>
      <c r="F33" s="33" t="s">
        <v>133</v>
      </c>
      <c r="G33" s="33" t="s">
        <v>168</v>
      </c>
      <c r="H33" s="33" t="s">
        <v>631</v>
      </c>
      <c r="I33" s="33" t="s">
        <v>398</v>
      </c>
      <c r="J33" s="33">
        <v>6</v>
      </c>
      <c r="K33" s="33" t="s">
        <v>496</v>
      </c>
      <c r="L33" s="33">
        <v>4</v>
      </c>
      <c r="M33" s="33">
        <f>1-(N33/100)</f>
        <v>0.80562519999999993</v>
      </c>
      <c r="N33" s="33">
        <v>19.437480000000001</v>
      </c>
      <c r="O33" s="33">
        <f>1.56857/100</f>
        <v>1.56857E-2</v>
      </c>
      <c r="P33" s="33">
        <f t="shared" si="11"/>
        <v>3.1371400000000001E-2</v>
      </c>
      <c r="Q33" s="33">
        <v>4</v>
      </c>
      <c r="R33" s="33">
        <f>1-(S33/100)</f>
        <v>0.96312229999999999</v>
      </c>
      <c r="S33" s="33">
        <v>3.68777</v>
      </c>
      <c r="T33" s="33">
        <f>1.60058/100</f>
        <v>1.6005800000000001E-2</v>
      </c>
      <c r="U33" s="33">
        <f t="shared" si="12"/>
        <v>3.2011600000000001E-2</v>
      </c>
      <c r="V33" s="33">
        <v>4</v>
      </c>
      <c r="W33" s="33" t="s">
        <v>774</v>
      </c>
      <c r="X33" s="33">
        <v>2.1999999999999998E-9</v>
      </c>
      <c r="Y33" s="33">
        <f>X33 * 1000</f>
        <v>2.1999999999999997E-6</v>
      </c>
      <c r="Z33" s="33" t="str">
        <f t="shared" si="4"/>
        <v>Low</v>
      </c>
      <c r="AA33" s="33" t="s">
        <v>351</v>
      </c>
      <c r="AB33" s="33">
        <f t="shared" si="5"/>
        <v>-0.17856178074813678</v>
      </c>
      <c r="AC33" s="33">
        <f t="shared" si="6"/>
        <v>3.7908947257405117E-4</v>
      </c>
      <c r="AD33" s="33">
        <f t="shared" si="7"/>
        <v>2.7617978972217718E-4</v>
      </c>
      <c r="AE33" s="33">
        <f t="shared" si="8"/>
        <v>6.5526926229622835E-4</v>
      </c>
      <c r="AF33" s="33" t="s">
        <v>632</v>
      </c>
      <c r="AH33" s="33" t="s">
        <v>614</v>
      </c>
      <c r="AI33" s="33" t="s">
        <v>697</v>
      </c>
    </row>
    <row r="34" spans="1:35" s="33" customFormat="1" ht="15.75" x14ac:dyDescent="0.2">
      <c r="A34" s="33">
        <v>33</v>
      </c>
      <c r="B34" s="33">
        <v>6</v>
      </c>
      <c r="C34" s="33" t="s">
        <v>628</v>
      </c>
      <c r="D34" s="33" t="s">
        <v>629</v>
      </c>
      <c r="E34" s="33" t="s">
        <v>630</v>
      </c>
      <c r="F34" s="33" t="s">
        <v>133</v>
      </c>
      <c r="G34" s="33" t="s">
        <v>168</v>
      </c>
      <c r="H34" s="33" t="s">
        <v>631</v>
      </c>
      <c r="I34" s="33" t="s">
        <v>398</v>
      </c>
      <c r="J34" s="33">
        <v>6</v>
      </c>
      <c r="K34" s="33" t="s">
        <v>633</v>
      </c>
      <c r="L34" s="33">
        <v>4</v>
      </c>
      <c r="M34" s="33">
        <f>1-(N34/100)</f>
        <v>0.78310780000000002</v>
      </c>
      <c r="N34" s="33">
        <v>21.689219999999999</v>
      </c>
      <c r="O34" s="33">
        <f>2.40546/100</f>
        <v>2.4054600000000002E-2</v>
      </c>
      <c r="P34" s="33">
        <f t="shared" si="11"/>
        <v>4.8109200000000005E-2</v>
      </c>
      <c r="Q34" s="33">
        <v>4</v>
      </c>
      <c r="R34" s="33">
        <f>1-(S34/100)</f>
        <v>0.92990289999999998</v>
      </c>
      <c r="S34" s="33">
        <v>7.0097100000000001</v>
      </c>
      <c r="T34" s="33">
        <f>2.40547/100</f>
        <v>2.4054700000000002E-2</v>
      </c>
      <c r="U34" s="33">
        <f t="shared" si="12"/>
        <v>4.8109400000000004E-2</v>
      </c>
      <c r="V34" s="33">
        <v>4</v>
      </c>
      <c r="W34" s="33" t="s">
        <v>774</v>
      </c>
      <c r="X34" s="33">
        <v>2.1999999999999998E-9</v>
      </c>
      <c r="Y34" s="33">
        <f>X34 * 1000</f>
        <v>2.1999999999999997E-6</v>
      </c>
      <c r="Z34" s="33" t="str">
        <f t="shared" si="4"/>
        <v>Low</v>
      </c>
      <c r="AA34" s="33" t="s">
        <v>351</v>
      </c>
      <c r="AB34" s="33">
        <f t="shared" si="5"/>
        <v>-0.17180980997316586</v>
      </c>
      <c r="AC34" s="33">
        <f t="shared" si="6"/>
        <v>9.4352449529592662E-4</v>
      </c>
      <c r="AD34" s="33">
        <f t="shared" si="7"/>
        <v>6.6915185411114074E-4</v>
      </c>
      <c r="AE34" s="33">
        <f t="shared" si="8"/>
        <v>1.6126763494070675E-3</v>
      </c>
      <c r="AF34" s="33" t="s">
        <v>632</v>
      </c>
      <c r="AH34" s="33" t="s">
        <v>614</v>
      </c>
      <c r="AI34" s="33" t="s">
        <v>697</v>
      </c>
    </row>
    <row r="35" spans="1:35" s="33" customFormat="1" ht="15.75" x14ac:dyDescent="0.2">
      <c r="A35" s="33">
        <v>34</v>
      </c>
      <c r="B35" s="33">
        <v>6</v>
      </c>
      <c r="C35" s="33" t="s">
        <v>628</v>
      </c>
      <c r="D35" s="33" t="s">
        <v>629</v>
      </c>
      <c r="E35" s="33" t="s">
        <v>630</v>
      </c>
      <c r="F35" s="33" t="s">
        <v>133</v>
      </c>
      <c r="G35" s="33" t="s">
        <v>168</v>
      </c>
      <c r="H35" s="33" t="s">
        <v>631</v>
      </c>
      <c r="I35" s="33" t="s">
        <v>398</v>
      </c>
      <c r="J35" s="33">
        <v>6</v>
      </c>
      <c r="K35" s="33" t="s">
        <v>497</v>
      </c>
      <c r="L35" s="33">
        <v>4</v>
      </c>
      <c r="M35" s="33">
        <f>1-(N35/100)</f>
        <v>0.7291974</v>
      </c>
      <c r="N35" s="33">
        <v>27.080259999999999</v>
      </c>
      <c r="O35" s="33">
        <f>2.81254/100</f>
        <v>2.8125399999999998E-2</v>
      </c>
      <c r="P35" s="33">
        <f t="shared" si="11"/>
        <v>5.6250799999999997E-2</v>
      </c>
      <c r="Q35" s="33">
        <v>4</v>
      </c>
      <c r="R35" s="33">
        <f>1-(S35/100)</f>
        <v>0.92735389999999995</v>
      </c>
      <c r="S35" s="33">
        <v>7.2646100000000002</v>
      </c>
      <c r="T35" s="33">
        <f>3.19607/100</f>
        <v>3.1960700000000002E-2</v>
      </c>
      <c r="U35" s="33">
        <f t="shared" si="12"/>
        <v>6.3921400000000003E-2</v>
      </c>
      <c r="V35" s="33">
        <v>4</v>
      </c>
      <c r="W35" s="33" t="s">
        <v>774</v>
      </c>
      <c r="X35" s="33">
        <v>2.1999999999999998E-9</v>
      </c>
      <c r="Y35" s="33">
        <f>X35 * 1000</f>
        <v>2.1999999999999997E-6</v>
      </c>
      <c r="Z35" s="33" t="str">
        <f t="shared" si="4"/>
        <v>Low</v>
      </c>
      <c r="AA35" s="33" t="s">
        <v>351</v>
      </c>
      <c r="AB35" s="33">
        <f t="shared" si="5"/>
        <v>-0.24039078461148222</v>
      </c>
      <c r="AC35" s="33">
        <f t="shared" si="6"/>
        <v>1.4876720115661575E-3</v>
      </c>
      <c r="AD35" s="33">
        <f t="shared" si="7"/>
        <v>1.1877951831698137E-3</v>
      </c>
      <c r="AE35" s="33">
        <f t="shared" si="8"/>
        <v>2.6754671947359712E-3</v>
      </c>
      <c r="AF35" s="33" t="s">
        <v>632</v>
      </c>
      <c r="AH35" s="33" t="s">
        <v>614</v>
      </c>
      <c r="AI35" s="33" t="s">
        <v>697</v>
      </c>
    </row>
    <row r="36" spans="1:35" s="39" customFormat="1" ht="15.75" x14ac:dyDescent="0.2">
      <c r="A36" s="39">
        <v>35</v>
      </c>
      <c r="B36" s="39">
        <v>7</v>
      </c>
      <c r="C36" s="39" t="s">
        <v>596</v>
      </c>
      <c r="D36" s="39" t="s">
        <v>608</v>
      </c>
      <c r="E36" s="39" t="s">
        <v>609</v>
      </c>
      <c r="F36" s="39" t="s">
        <v>133</v>
      </c>
      <c r="G36" s="39" t="s">
        <v>149</v>
      </c>
      <c r="H36" s="39" t="s">
        <v>140</v>
      </c>
      <c r="I36" s="39" t="s">
        <v>399</v>
      </c>
      <c r="J36" s="39">
        <v>7</v>
      </c>
      <c r="K36" s="39" t="s">
        <v>495</v>
      </c>
      <c r="L36" s="39">
        <v>7</v>
      </c>
      <c r="M36" s="39">
        <v>1</v>
      </c>
      <c r="N36" s="39">
        <v>1</v>
      </c>
      <c r="P36" s="39">
        <f t="shared" si="11"/>
        <v>0</v>
      </c>
      <c r="Q36" s="39">
        <v>7</v>
      </c>
      <c r="R36" s="39">
        <v>99.316659999999999</v>
      </c>
      <c r="S36" s="39">
        <v>99.316659999999999</v>
      </c>
      <c r="T36" s="39">
        <v>0.78782999999999959</v>
      </c>
      <c r="U36" s="39">
        <f t="shared" si="12"/>
        <v>2.0844022553960153</v>
      </c>
      <c r="V36" s="39">
        <v>7</v>
      </c>
      <c r="W36" s="39" t="s">
        <v>599</v>
      </c>
      <c r="X36" s="39">
        <v>5.0000000000000001E-3</v>
      </c>
      <c r="Y36" s="39">
        <f t="shared" ref="Y36:Y41" si="13">X36 * 10^(-3)</f>
        <v>5.0000000000000004E-6</v>
      </c>
      <c r="Z36" s="39" t="str">
        <f t="shared" si="4"/>
        <v>Low</v>
      </c>
      <c r="AA36" s="39" t="s">
        <v>610</v>
      </c>
      <c r="AB36" s="39">
        <f t="shared" si="5"/>
        <v>-4.5983133313995195</v>
      </c>
      <c r="AC36" s="39">
        <f t="shared" si="6"/>
        <v>0</v>
      </c>
      <c r="AD36" s="39">
        <f t="shared" si="7"/>
        <v>6.2924651224391032E-5</v>
      </c>
      <c r="AE36" s="39">
        <f t="shared" si="8"/>
        <v>6.2924651224391032E-5</v>
      </c>
      <c r="AF36" s="39" t="s">
        <v>212</v>
      </c>
      <c r="AH36" s="39" t="s">
        <v>614</v>
      </c>
    </row>
    <row r="37" spans="1:35" s="39" customFormat="1" ht="15.75" x14ac:dyDescent="0.2">
      <c r="A37" s="39">
        <v>36</v>
      </c>
      <c r="B37" s="39">
        <v>7</v>
      </c>
      <c r="C37" s="39" t="s">
        <v>596</v>
      </c>
      <c r="D37" s="39" t="s">
        <v>608</v>
      </c>
      <c r="E37" s="39" t="s">
        <v>609</v>
      </c>
      <c r="F37" s="39" t="s">
        <v>133</v>
      </c>
      <c r="G37" s="39" t="s">
        <v>149</v>
      </c>
      <c r="H37" s="39" t="s">
        <v>140</v>
      </c>
      <c r="I37" s="39" t="s">
        <v>399</v>
      </c>
      <c r="J37" s="39">
        <v>7</v>
      </c>
      <c r="K37" s="39" t="s">
        <v>495</v>
      </c>
      <c r="L37" s="39">
        <v>7</v>
      </c>
      <c r="M37" s="39">
        <v>0.5</v>
      </c>
      <c r="N37" s="39">
        <v>0.5</v>
      </c>
      <c r="P37" s="39">
        <f t="shared" si="11"/>
        <v>0</v>
      </c>
      <c r="Q37" s="39">
        <v>7</v>
      </c>
      <c r="R37" s="39">
        <v>99.316659999999999</v>
      </c>
      <c r="S37" s="39">
        <v>99.316659999999999</v>
      </c>
      <c r="T37" s="39">
        <v>0.78782999999999959</v>
      </c>
      <c r="U37" s="39">
        <f t="shared" si="12"/>
        <v>2.0844022553960153</v>
      </c>
      <c r="V37" s="39">
        <v>7</v>
      </c>
      <c r="W37" s="39" t="s">
        <v>600</v>
      </c>
      <c r="X37" s="39">
        <v>0.05</v>
      </c>
      <c r="Y37" s="39">
        <f t="shared" si="13"/>
        <v>5.0000000000000002E-5</v>
      </c>
      <c r="Z37" s="39" t="str">
        <f t="shared" si="4"/>
        <v>Low</v>
      </c>
      <c r="AA37" s="39" t="s">
        <v>610</v>
      </c>
      <c r="AB37" s="39">
        <f t="shared" si="5"/>
        <v>-5.2914605119594649</v>
      </c>
      <c r="AC37" s="39">
        <f t="shared" si="6"/>
        <v>0</v>
      </c>
      <c r="AD37" s="39">
        <f t="shared" si="7"/>
        <v>6.2924651224391032E-5</v>
      </c>
      <c r="AE37" s="39">
        <f t="shared" si="8"/>
        <v>6.2924651224391032E-5</v>
      </c>
      <c r="AF37" s="39" t="s">
        <v>212</v>
      </c>
      <c r="AH37" s="39" t="s">
        <v>614</v>
      </c>
    </row>
    <row r="38" spans="1:35" s="39" customFormat="1" ht="15.75" x14ac:dyDescent="0.2">
      <c r="A38" s="39">
        <v>37</v>
      </c>
      <c r="B38" s="39">
        <v>7</v>
      </c>
      <c r="C38" s="39" t="s">
        <v>596</v>
      </c>
      <c r="D38" s="39" t="s">
        <v>608</v>
      </c>
      <c r="E38" s="39" t="s">
        <v>609</v>
      </c>
      <c r="F38" s="39" t="s">
        <v>133</v>
      </c>
      <c r="G38" s="39" t="s">
        <v>149</v>
      </c>
      <c r="H38" s="39" t="s">
        <v>140</v>
      </c>
      <c r="I38" s="39" t="s">
        <v>399</v>
      </c>
      <c r="J38" s="39">
        <v>7</v>
      </c>
      <c r="K38" s="39" t="s">
        <v>495</v>
      </c>
      <c r="L38" s="39">
        <v>7</v>
      </c>
      <c r="M38" s="39">
        <v>8.7153200000000002</v>
      </c>
      <c r="N38" s="39">
        <v>8.7153200000000002</v>
      </c>
      <c r="O38" s="39">
        <v>5.7118299999999991</v>
      </c>
      <c r="P38" s="39">
        <f t="shared" si="11"/>
        <v>15.112081711078059</v>
      </c>
      <c r="Q38" s="39">
        <v>7</v>
      </c>
      <c r="R38" s="39">
        <v>99.316659999999999</v>
      </c>
      <c r="S38" s="39">
        <v>99.316659999999999</v>
      </c>
      <c r="T38" s="39">
        <v>0.78782999999999959</v>
      </c>
      <c r="U38" s="39">
        <f t="shared" si="12"/>
        <v>2.0844022553960153</v>
      </c>
      <c r="V38" s="39">
        <v>7</v>
      </c>
      <c r="W38" s="39" t="s">
        <v>601</v>
      </c>
      <c r="X38" s="39">
        <v>0.5</v>
      </c>
      <c r="Y38" s="39">
        <f t="shared" si="13"/>
        <v>5.0000000000000001E-4</v>
      </c>
      <c r="Z38" s="39" t="str">
        <f t="shared" si="4"/>
        <v>Low</v>
      </c>
      <c r="AA38" s="39" t="s">
        <v>610</v>
      </c>
      <c r="AB38" s="39">
        <f t="shared" si="5"/>
        <v>-2.4332309347998571</v>
      </c>
      <c r="AC38" s="39">
        <f t="shared" si="6"/>
        <v>0.42952047464037268</v>
      </c>
      <c r="AD38" s="39">
        <f t="shared" si="7"/>
        <v>6.2924651224391032E-5</v>
      </c>
      <c r="AE38" s="39">
        <f t="shared" si="8"/>
        <v>0.42958339929159706</v>
      </c>
      <c r="AF38" s="39" t="s">
        <v>212</v>
      </c>
      <c r="AH38" s="39" t="s">
        <v>614</v>
      </c>
    </row>
    <row r="39" spans="1:35" s="39" customFormat="1" ht="15.75" x14ac:dyDescent="0.2">
      <c r="A39" s="39">
        <v>38</v>
      </c>
      <c r="B39" s="39">
        <v>7</v>
      </c>
      <c r="C39" s="39" t="s">
        <v>596</v>
      </c>
      <c r="D39" s="39" t="s">
        <v>608</v>
      </c>
      <c r="E39" s="39" t="s">
        <v>609</v>
      </c>
      <c r="F39" s="39" t="s">
        <v>133</v>
      </c>
      <c r="G39" s="39" t="s">
        <v>141</v>
      </c>
      <c r="H39" s="39" t="s">
        <v>140</v>
      </c>
      <c r="I39" s="39" t="s">
        <v>399</v>
      </c>
      <c r="J39" s="39">
        <v>7</v>
      </c>
      <c r="K39" s="39" t="s">
        <v>495</v>
      </c>
      <c r="L39" s="39">
        <v>7</v>
      </c>
      <c r="M39" s="39">
        <v>90.305760000000006</v>
      </c>
      <c r="N39" s="39">
        <v>90.305760000000006</v>
      </c>
      <c r="O39" s="39">
        <v>4.62854999999999</v>
      </c>
      <c r="P39" s="39">
        <f t="shared" si="11"/>
        <v>12.245992230827985</v>
      </c>
      <c r="Q39" s="39">
        <v>7</v>
      </c>
      <c r="R39" s="39">
        <v>99.316659999999999</v>
      </c>
      <c r="S39" s="39">
        <v>99.316659999999999</v>
      </c>
      <c r="T39" s="39">
        <v>0.78782999999999959</v>
      </c>
      <c r="U39" s="39">
        <f t="shared" si="12"/>
        <v>2.0844022553960153</v>
      </c>
      <c r="V39" s="39">
        <v>7</v>
      </c>
      <c r="W39" s="39" t="s">
        <v>599</v>
      </c>
      <c r="X39" s="39">
        <v>5.0000000000000001E-3</v>
      </c>
      <c r="Y39" s="39">
        <f t="shared" si="13"/>
        <v>5.0000000000000004E-6</v>
      </c>
      <c r="Z39" s="39" t="str">
        <f t="shared" si="4"/>
        <v>Low</v>
      </c>
      <c r="AA39" s="39" t="s">
        <v>610</v>
      </c>
      <c r="AB39" s="39">
        <f t="shared" si="5"/>
        <v>-9.5112085635492394E-2</v>
      </c>
      <c r="AC39" s="39">
        <f t="shared" si="6"/>
        <v>2.6269936031470009E-3</v>
      </c>
      <c r="AD39" s="39">
        <f t="shared" si="7"/>
        <v>6.2924651224391032E-5</v>
      </c>
      <c r="AE39" s="39">
        <f t="shared" si="8"/>
        <v>2.6899182543713919E-3</v>
      </c>
      <c r="AF39" s="39" t="s">
        <v>212</v>
      </c>
      <c r="AH39" s="39" t="s">
        <v>614</v>
      </c>
    </row>
    <row r="40" spans="1:35" s="39" customFormat="1" ht="15.75" x14ac:dyDescent="0.2">
      <c r="A40" s="39">
        <v>39</v>
      </c>
      <c r="B40" s="39">
        <v>7</v>
      </c>
      <c r="C40" s="39" t="s">
        <v>596</v>
      </c>
      <c r="D40" s="39" t="s">
        <v>608</v>
      </c>
      <c r="E40" s="39" t="s">
        <v>609</v>
      </c>
      <c r="F40" s="39" t="s">
        <v>133</v>
      </c>
      <c r="G40" s="39" t="s">
        <v>141</v>
      </c>
      <c r="H40" s="39" t="s">
        <v>140</v>
      </c>
      <c r="I40" s="39" t="s">
        <v>399</v>
      </c>
      <c r="J40" s="39">
        <v>7</v>
      </c>
      <c r="K40" s="39" t="s">
        <v>495</v>
      </c>
      <c r="L40" s="39">
        <v>7</v>
      </c>
      <c r="M40" s="39">
        <v>98.323999999999998</v>
      </c>
      <c r="N40" s="39">
        <v>98.323999999999998</v>
      </c>
      <c r="O40" s="39">
        <v>0.24620000000000175</v>
      </c>
      <c r="P40" s="39">
        <f t="shared" si="11"/>
        <v>0.65138397278410687</v>
      </c>
      <c r="Q40" s="39">
        <v>7</v>
      </c>
      <c r="R40" s="39">
        <v>99.316659999999999</v>
      </c>
      <c r="S40" s="39">
        <v>99.316659999999999</v>
      </c>
      <c r="T40" s="39">
        <v>0.78782999999999959</v>
      </c>
      <c r="U40" s="39">
        <f t="shared" si="12"/>
        <v>2.0844022553960153</v>
      </c>
      <c r="V40" s="39">
        <v>7</v>
      </c>
      <c r="W40" s="39" t="s">
        <v>600</v>
      </c>
      <c r="X40" s="39">
        <v>0.05</v>
      </c>
      <c r="Y40" s="39">
        <f t="shared" si="13"/>
        <v>5.0000000000000002E-5</v>
      </c>
      <c r="Z40" s="39" t="str">
        <f t="shared" si="4"/>
        <v>Low</v>
      </c>
      <c r="AA40" s="39" t="s">
        <v>610</v>
      </c>
      <c r="AB40" s="39">
        <f t="shared" si="5"/>
        <v>-1.0045183486784355E-2</v>
      </c>
      <c r="AC40" s="39">
        <f t="shared" si="6"/>
        <v>6.2698481238201954E-6</v>
      </c>
      <c r="AD40" s="39">
        <f t="shared" si="7"/>
        <v>6.2924651224391032E-5</v>
      </c>
      <c r="AE40" s="39">
        <f t="shared" si="8"/>
        <v>6.9194499348211233E-5</v>
      </c>
      <c r="AF40" s="39" t="s">
        <v>212</v>
      </c>
      <c r="AH40" s="39" t="s">
        <v>614</v>
      </c>
    </row>
    <row r="41" spans="1:35" s="39" customFormat="1" ht="15.75" x14ac:dyDescent="0.2">
      <c r="A41" s="39">
        <v>40</v>
      </c>
      <c r="B41" s="39">
        <v>7</v>
      </c>
      <c r="C41" s="39" t="s">
        <v>596</v>
      </c>
      <c r="D41" s="39" t="s">
        <v>608</v>
      </c>
      <c r="E41" s="39" t="s">
        <v>609</v>
      </c>
      <c r="F41" s="39" t="s">
        <v>133</v>
      </c>
      <c r="G41" s="39" t="s">
        <v>141</v>
      </c>
      <c r="H41" s="39" t="s">
        <v>140</v>
      </c>
      <c r="I41" s="39" t="s">
        <v>399</v>
      </c>
      <c r="J41" s="39">
        <v>7</v>
      </c>
      <c r="K41" s="39" t="s">
        <v>495</v>
      </c>
      <c r="L41" s="39">
        <v>7</v>
      </c>
      <c r="M41" s="39">
        <v>94.392669999999995</v>
      </c>
      <c r="N41" s="39">
        <v>94.392669999999995</v>
      </c>
      <c r="O41" s="39">
        <v>4.9239900000000034</v>
      </c>
      <c r="P41" s="39">
        <f t="shared" si="11"/>
        <v>13.027652998168943</v>
      </c>
      <c r="Q41" s="39">
        <v>7</v>
      </c>
      <c r="R41" s="39">
        <v>99.316659999999999</v>
      </c>
      <c r="S41" s="39">
        <v>99.316659999999999</v>
      </c>
      <c r="T41" s="39">
        <v>0.78782999999999959</v>
      </c>
      <c r="U41" s="39">
        <f t="shared" si="12"/>
        <v>2.0844022553960153</v>
      </c>
      <c r="V41" s="39">
        <v>7</v>
      </c>
      <c r="W41" s="39" t="s">
        <v>601</v>
      </c>
      <c r="X41" s="39">
        <v>0.5</v>
      </c>
      <c r="Y41" s="39">
        <f t="shared" si="13"/>
        <v>5.0000000000000001E-4</v>
      </c>
      <c r="Z41" s="39" t="str">
        <f t="shared" si="4"/>
        <v>Low</v>
      </c>
      <c r="AA41" s="39" t="s">
        <v>610</v>
      </c>
      <c r="AB41" s="39">
        <f t="shared" si="5"/>
        <v>-5.0849909567934844E-2</v>
      </c>
      <c r="AC41" s="39">
        <f t="shared" si="6"/>
        <v>2.7211832122398839E-3</v>
      </c>
      <c r="AD41" s="39">
        <f t="shared" si="7"/>
        <v>6.2924651224391032E-5</v>
      </c>
      <c r="AE41" s="39">
        <f t="shared" si="8"/>
        <v>2.784107863464275E-3</v>
      </c>
      <c r="AF41" s="39" t="s">
        <v>212</v>
      </c>
      <c r="AH41" s="39" t="s">
        <v>614</v>
      </c>
    </row>
    <row r="42" spans="1:35" s="40" customFormat="1" ht="15.75" x14ac:dyDescent="0.2">
      <c r="A42" s="40">
        <v>41</v>
      </c>
      <c r="B42" s="40">
        <v>8</v>
      </c>
      <c r="C42" s="40" t="s">
        <v>615</v>
      </c>
      <c r="D42" s="40" t="s">
        <v>616</v>
      </c>
      <c r="E42" s="40" t="s">
        <v>617</v>
      </c>
      <c r="F42" s="40" t="s">
        <v>598</v>
      </c>
      <c r="G42" s="40" t="s">
        <v>593</v>
      </c>
      <c r="H42" s="40" t="s">
        <v>625</v>
      </c>
      <c r="I42" s="40" t="s">
        <v>399</v>
      </c>
      <c r="J42" s="40">
        <v>8</v>
      </c>
      <c r="K42" s="40" t="s">
        <v>624</v>
      </c>
      <c r="L42" s="40">
        <v>4</v>
      </c>
      <c r="M42" s="40">
        <v>87.464340000000007</v>
      </c>
      <c r="N42" s="40">
        <v>87.464340000000007</v>
      </c>
      <c r="P42" s="40">
        <v>3.2284899999999936</v>
      </c>
      <c r="Q42" s="40">
        <v>4</v>
      </c>
      <c r="R42" s="40">
        <v>92.307079999999999</v>
      </c>
      <c r="S42" s="40">
        <v>92.307079999999999</v>
      </c>
      <c r="U42" s="40">
        <v>1.9811200000000042</v>
      </c>
      <c r="V42" s="40">
        <v>4</v>
      </c>
      <c r="W42" s="40" t="s">
        <v>619</v>
      </c>
      <c r="X42" s="40">
        <v>150</v>
      </c>
      <c r="Y42" s="40">
        <f>X42 / 1000</f>
        <v>0.15</v>
      </c>
      <c r="Z42" s="40" t="str">
        <f t="shared" si="4"/>
        <v>Low</v>
      </c>
      <c r="AA42" s="40" t="s">
        <v>618</v>
      </c>
      <c r="AB42" s="40">
        <f t="shared" si="5"/>
        <v>-5.3889677520955123E-2</v>
      </c>
      <c r="AC42" s="40">
        <f t="shared" si="6"/>
        <v>3.4062526155997328E-4</v>
      </c>
      <c r="AD42" s="40">
        <f t="shared" si="7"/>
        <v>1.1515731955315062E-4</v>
      </c>
      <c r="AE42" s="40">
        <f t="shared" si="8"/>
        <v>4.5578258111312388E-4</v>
      </c>
      <c r="AF42" s="40" t="s">
        <v>623</v>
      </c>
      <c r="AH42" s="40" t="s">
        <v>614</v>
      </c>
    </row>
    <row r="43" spans="1:35" s="40" customFormat="1" ht="15.75" x14ac:dyDescent="0.2">
      <c r="A43" s="40">
        <v>42</v>
      </c>
      <c r="B43" s="40">
        <v>8</v>
      </c>
      <c r="C43" s="40" t="s">
        <v>615</v>
      </c>
      <c r="D43" s="40" t="s">
        <v>616</v>
      </c>
      <c r="E43" s="40" t="s">
        <v>617</v>
      </c>
      <c r="F43" s="40" t="s">
        <v>598</v>
      </c>
      <c r="G43" s="40" t="s">
        <v>593</v>
      </c>
      <c r="H43" s="40" t="s">
        <v>625</v>
      </c>
      <c r="I43" s="40" t="s">
        <v>399</v>
      </c>
      <c r="J43" s="40">
        <v>8</v>
      </c>
      <c r="K43" s="40" t="s">
        <v>624</v>
      </c>
      <c r="L43" s="40">
        <v>4</v>
      </c>
      <c r="M43" s="40">
        <v>80.567099999999996</v>
      </c>
      <c r="N43" s="40">
        <v>80.567099999999996</v>
      </c>
      <c r="P43" s="40">
        <v>3.5953700000000026</v>
      </c>
      <c r="Q43" s="40">
        <v>4</v>
      </c>
      <c r="R43" s="40">
        <v>92.307079999999999</v>
      </c>
      <c r="S43" s="40">
        <v>92.307079999999999</v>
      </c>
      <c r="U43" s="40">
        <v>1.9811200000000042</v>
      </c>
      <c r="V43" s="40">
        <v>4</v>
      </c>
      <c r="W43" s="40" t="s">
        <v>620</v>
      </c>
      <c r="X43" s="40">
        <v>250</v>
      </c>
      <c r="Y43" s="40">
        <f t="shared" ref="Y43:Y49" si="14">X43 / 1000</f>
        <v>0.25</v>
      </c>
      <c r="Z43" s="40" t="str">
        <f t="shared" si="4"/>
        <v>Low</v>
      </c>
      <c r="AA43" s="40" t="s">
        <v>618</v>
      </c>
      <c r="AB43" s="40">
        <f t="shared" si="5"/>
        <v>-0.13603046736388447</v>
      </c>
      <c r="AC43" s="40">
        <f t="shared" si="6"/>
        <v>4.9786514882030168E-4</v>
      </c>
      <c r="AD43" s="40">
        <f t="shared" si="7"/>
        <v>1.1515731955315062E-4</v>
      </c>
      <c r="AE43" s="40">
        <f t="shared" si="8"/>
        <v>6.1302246837345229E-4</v>
      </c>
      <c r="AF43" s="40" t="s">
        <v>623</v>
      </c>
      <c r="AH43" s="40" t="s">
        <v>614</v>
      </c>
    </row>
    <row r="44" spans="1:35" s="40" customFormat="1" ht="15.75" x14ac:dyDescent="0.2">
      <c r="A44" s="40">
        <v>43</v>
      </c>
      <c r="B44" s="40">
        <v>8</v>
      </c>
      <c r="C44" s="40" t="s">
        <v>615</v>
      </c>
      <c r="D44" s="40" t="s">
        <v>616</v>
      </c>
      <c r="E44" s="40" t="s">
        <v>617</v>
      </c>
      <c r="F44" s="40" t="s">
        <v>598</v>
      </c>
      <c r="G44" s="40" t="s">
        <v>593</v>
      </c>
      <c r="H44" s="40" t="s">
        <v>625</v>
      </c>
      <c r="I44" s="40" t="s">
        <v>399</v>
      </c>
      <c r="J44" s="40">
        <v>8</v>
      </c>
      <c r="K44" s="40" t="s">
        <v>624</v>
      </c>
      <c r="L44" s="40">
        <v>4</v>
      </c>
      <c r="M44" s="40">
        <v>70.00112</v>
      </c>
      <c r="N44" s="40">
        <v>70.00112</v>
      </c>
      <c r="P44" s="40">
        <v>2.8616200000000021</v>
      </c>
      <c r="Q44" s="40">
        <v>4</v>
      </c>
      <c r="R44" s="40">
        <v>92.307079999999999</v>
      </c>
      <c r="S44" s="40">
        <v>92.307079999999999</v>
      </c>
      <c r="U44" s="40">
        <v>1.9811200000000042</v>
      </c>
      <c r="V44" s="40">
        <v>4</v>
      </c>
      <c r="W44" s="40" t="s">
        <v>621</v>
      </c>
      <c r="X44" s="40">
        <v>500</v>
      </c>
      <c r="Y44" s="40">
        <f t="shared" si="14"/>
        <v>0.5</v>
      </c>
      <c r="Z44" s="40" t="str">
        <f t="shared" si="4"/>
        <v>Low</v>
      </c>
      <c r="AA44" s="40" t="s">
        <v>618</v>
      </c>
      <c r="AB44" s="40">
        <f t="shared" si="5"/>
        <v>-0.27660960303786059</v>
      </c>
      <c r="AC44" s="40">
        <f t="shared" si="6"/>
        <v>4.1778607075919116E-4</v>
      </c>
      <c r="AD44" s="40">
        <f t="shared" si="7"/>
        <v>1.1515731955315062E-4</v>
      </c>
      <c r="AE44" s="40">
        <f t="shared" si="8"/>
        <v>5.3294339031234182E-4</v>
      </c>
      <c r="AF44" s="40" t="s">
        <v>623</v>
      </c>
      <c r="AH44" s="40" t="s">
        <v>614</v>
      </c>
    </row>
    <row r="45" spans="1:35" s="40" customFormat="1" ht="15.75" x14ac:dyDescent="0.2">
      <c r="A45" s="40">
        <v>44</v>
      </c>
      <c r="B45" s="40">
        <v>8</v>
      </c>
      <c r="C45" s="40" t="s">
        <v>615</v>
      </c>
      <c r="D45" s="40" t="s">
        <v>616</v>
      </c>
      <c r="E45" s="40" t="s">
        <v>617</v>
      </c>
      <c r="F45" s="40" t="s">
        <v>598</v>
      </c>
      <c r="G45" s="40" t="s">
        <v>593</v>
      </c>
      <c r="H45" s="40" t="s">
        <v>625</v>
      </c>
      <c r="I45" s="40" t="s">
        <v>399</v>
      </c>
      <c r="J45" s="40">
        <v>8</v>
      </c>
      <c r="K45" s="40" t="s">
        <v>624</v>
      </c>
      <c r="L45" s="40">
        <v>4</v>
      </c>
      <c r="M45" s="40">
        <v>59.435139999999997</v>
      </c>
      <c r="N45" s="40">
        <v>59.435139999999997</v>
      </c>
      <c r="P45" s="40">
        <v>4.4758600000000044</v>
      </c>
      <c r="Q45" s="40">
        <v>4</v>
      </c>
      <c r="R45" s="40">
        <v>92.307079999999999</v>
      </c>
      <c r="S45" s="40">
        <v>92.307079999999999</v>
      </c>
      <c r="U45" s="40">
        <v>1.9811200000000042</v>
      </c>
      <c r="V45" s="40">
        <v>4</v>
      </c>
      <c r="W45" s="40" t="s">
        <v>622</v>
      </c>
      <c r="X45" s="40">
        <v>1000</v>
      </c>
      <c r="Y45" s="40">
        <f t="shared" si="14"/>
        <v>1</v>
      </c>
      <c r="Z45" s="40" t="str">
        <f t="shared" si="4"/>
        <v>Low</v>
      </c>
      <c r="AA45" s="40" t="s">
        <v>618</v>
      </c>
      <c r="AB45" s="40">
        <f t="shared" si="5"/>
        <v>-0.44023521101497998</v>
      </c>
      <c r="AC45" s="40">
        <f t="shared" si="6"/>
        <v>1.4177720690516562E-3</v>
      </c>
      <c r="AD45" s="40">
        <f t="shared" si="7"/>
        <v>1.1515731955315062E-4</v>
      </c>
      <c r="AE45" s="40">
        <f t="shared" si="8"/>
        <v>1.5329293886048069E-3</v>
      </c>
      <c r="AF45" s="40" t="s">
        <v>623</v>
      </c>
      <c r="AH45" s="40" t="s">
        <v>614</v>
      </c>
    </row>
    <row r="46" spans="1:35" s="40" customFormat="1" ht="15.75" x14ac:dyDescent="0.2">
      <c r="A46" s="40">
        <v>45</v>
      </c>
      <c r="B46" s="40">
        <v>8</v>
      </c>
      <c r="C46" s="40" t="s">
        <v>615</v>
      </c>
      <c r="D46" s="40" t="s">
        <v>616</v>
      </c>
      <c r="E46" s="40" t="s">
        <v>617</v>
      </c>
      <c r="F46" s="40" t="s">
        <v>598</v>
      </c>
      <c r="G46" s="40" t="s">
        <v>593</v>
      </c>
      <c r="H46" s="40" t="s">
        <v>625</v>
      </c>
      <c r="I46" s="40" t="s">
        <v>399</v>
      </c>
      <c r="J46" s="40">
        <v>8</v>
      </c>
      <c r="K46" s="40" t="s">
        <v>624</v>
      </c>
      <c r="L46" s="40">
        <v>4</v>
      </c>
      <c r="M46" s="40">
        <v>91.078500000000005</v>
      </c>
      <c r="N46" s="40">
        <v>91.078500000000005</v>
      </c>
      <c r="P46" s="40">
        <v>3.9102199999999954</v>
      </c>
      <c r="Q46" s="40">
        <v>4</v>
      </c>
      <c r="R46" s="40">
        <v>96.979370000000003</v>
      </c>
      <c r="S46" s="40">
        <v>96.979370000000003</v>
      </c>
      <c r="U46" s="40">
        <v>2.3461300000000023</v>
      </c>
      <c r="V46" s="40">
        <v>4</v>
      </c>
      <c r="W46" s="40" t="s">
        <v>619</v>
      </c>
      <c r="X46" s="40">
        <v>150</v>
      </c>
      <c r="Y46" s="40">
        <f t="shared" si="14"/>
        <v>0.15</v>
      </c>
      <c r="Z46" s="40" t="str">
        <f t="shared" si="4"/>
        <v>Low</v>
      </c>
      <c r="AA46" s="40" t="s">
        <v>618</v>
      </c>
      <c r="AB46" s="40">
        <f t="shared" si="5"/>
        <v>-6.2776503449610957E-2</v>
      </c>
      <c r="AC46" s="40">
        <f t="shared" si="6"/>
        <v>4.6079807396019675E-4</v>
      </c>
      <c r="AD46" s="40">
        <f t="shared" si="7"/>
        <v>1.4631384973641978E-4</v>
      </c>
      <c r="AE46" s="40">
        <f t="shared" si="8"/>
        <v>6.071119236966165E-4</v>
      </c>
      <c r="AF46" s="40" t="s">
        <v>623</v>
      </c>
      <c r="AH46" s="40" t="s">
        <v>614</v>
      </c>
    </row>
    <row r="47" spans="1:35" s="40" customFormat="1" ht="15.75" x14ac:dyDescent="0.2">
      <c r="A47" s="40">
        <v>46</v>
      </c>
      <c r="B47" s="40">
        <v>8</v>
      </c>
      <c r="C47" s="40" t="s">
        <v>615</v>
      </c>
      <c r="D47" s="40" t="s">
        <v>616</v>
      </c>
      <c r="E47" s="40" t="s">
        <v>617</v>
      </c>
      <c r="F47" s="40" t="s">
        <v>598</v>
      </c>
      <c r="G47" s="40" t="s">
        <v>593</v>
      </c>
      <c r="H47" s="40" t="s">
        <v>625</v>
      </c>
      <c r="I47" s="40" t="s">
        <v>399</v>
      </c>
      <c r="J47" s="40">
        <v>8</v>
      </c>
      <c r="K47" s="40" t="s">
        <v>624</v>
      </c>
      <c r="L47" s="40">
        <v>4</v>
      </c>
      <c r="M47" s="40">
        <v>85.959670000000003</v>
      </c>
      <c r="N47" s="40">
        <v>85.959670000000003</v>
      </c>
      <c r="P47" s="40">
        <v>4.3367899999999935</v>
      </c>
      <c r="Q47" s="40">
        <v>4</v>
      </c>
      <c r="R47" s="40">
        <v>96.979370000000003</v>
      </c>
      <c r="S47" s="40">
        <v>96.979370000000003</v>
      </c>
      <c r="U47" s="40">
        <v>2.3461300000000023</v>
      </c>
      <c r="V47" s="40">
        <v>4</v>
      </c>
      <c r="W47" s="40" t="s">
        <v>620</v>
      </c>
      <c r="X47" s="40">
        <v>250</v>
      </c>
      <c r="Y47" s="40">
        <f t="shared" si="14"/>
        <v>0.25</v>
      </c>
      <c r="Z47" s="40" t="str">
        <f t="shared" si="4"/>
        <v>Low</v>
      </c>
      <c r="AA47" s="40" t="s">
        <v>618</v>
      </c>
      <c r="AB47" s="40">
        <f t="shared" si="5"/>
        <v>-0.12062004269926617</v>
      </c>
      <c r="AC47" s="40">
        <f t="shared" si="6"/>
        <v>6.3633720382353374E-4</v>
      </c>
      <c r="AD47" s="40">
        <f t="shared" si="7"/>
        <v>1.4631384973641978E-4</v>
      </c>
      <c r="AE47" s="40">
        <f t="shared" si="8"/>
        <v>7.8265105355995355E-4</v>
      </c>
      <c r="AF47" s="40" t="s">
        <v>623</v>
      </c>
      <c r="AH47" s="40" t="s">
        <v>614</v>
      </c>
    </row>
    <row r="48" spans="1:35" s="40" customFormat="1" ht="15.75" x14ac:dyDescent="0.2">
      <c r="A48" s="40">
        <v>47</v>
      </c>
      <c r="B48" s="40">
        <v>8</v>
      </c>
      <c r="C48" s="40" t="s">
        <v>615</v>
      </c>
      <c r="D48" s="40" t="s">
        <v>616</v>
      </c>
      <c r="E48" s="40" t="s">
        <v>617</v>
      </c>
      <c r="F48" s="40" t="s">
        <v>598</v>
      </c>
      <c r="G48" s="40" t="s">
        <v>593</v>
      </c>
      <c r="H48" s="40" t="s">
        <v>625</v>
      </c>
      <c r="I48" s="40" t="s">
        <v>399</v>
      </c>
      <c r="J48" s="40">
        <v>8</v>
      </c>
      <c r="K48" s="40" t="s">
        <v>624</v>
      </c>
      <c r="L48" s="40">
        <v>4</v>
      </c>
      <c r="M48" s="40">
        <v>87.097189999999998</v>
      </c>
      <c r="N48" s="40">
        <v>87.097189999999998</v>
      </c>
      <c r="P48" s="40">
        <v>2.4172200000000004</v>
      </c>
      <c r="Q48" s="40">
        <v>4</v>
      </c>
      <c r="R48" s="40">
        <v>96.979370000000003</v>
      </c>
      <c r="S48" s="40">
        <v>96.979370000000003</v>
      </c>
      <c r="U48" s="40">
        <v>2.3461300000000023</v>
      </c>
      <c r="V48" s="40">
        <v>4</v>
      </c>
      <c r="W48" s="40" t="s">
        <v>621</v>
      </c>
      <c r="X48" s="40">
        <v>500</v>
      </c>
      <c r="Y48" s="40">
        <f t="shared" si="14"/>
        <v>0.5</v>
      </c>
      <c r="Z48" s="40" t="str">
        <f t="shared" si="4"/>
        <v>Low</v>
      </c>
      <c r="AA48" s="40" t="s">
        <v>618</v>
      </c>
      <c r="AB48" s="40">
        <f t="shared" si="5"/>
        <v>-0.10747365390137323</v>
      </c>
      <c r="AC48" s="40">
        <f t="shared" si="6"/>
        <v>1.9255911408044054E-4</v>
      </c>
      <c r="AD48" s="40">
        <f t="shared" si="7"/>
        <v>1.4631384973641978E-4</v>
      </c>
      <c r="AE48" s="40">
        <f t="shared" si="8"/>
        <v>3.3887296381686035E-4</v>
      </c>
      <c r="AF48" s="40" t="s">
        <v>623</v>
      </c>
      <c r="AH48" s="40" t="s">
        <v>614</v>
      </c>
    </row>
    <row r="49" spans="1:35" s="40" customFormat="1" ht="15.75" x14ac:dyDescent="0.2">
      <c r="A49" s="40">
        <v>48</v>
      </c>
      <c r="B49" s="40">
        <v>8</v>
      </c>
      <c r="C49" s="40" t="s">
        <v>615</v>
      </c>
      <c r="D49" s="40" t="s">
        <v>616</v>
      </c>
      <c r="E49" s="40" t="s">
        <v>617</v>
      </c>
      <c r="F49" s="40" t="s">
        <v>598</v>
      </c>
      <c r="G49" s="40" t="s">
        <v>593</v>
      </c>
      <c r="H49" s="40" t="s">
        <v>625</v>
      </c>
      <c r="I49" s="40" t="s">
        <v>399</v>
      </c>
      <c r="J49" s="40">
        <v>8</v>
      </c>
      <c r="K49" s="40" t="s">
        <v>624</v>
      </c>
      <c r="L49" s="40">
        <v>4</v>
      </c>
      <c r="M49" s="40">
        <v>89.514409999999998</v>
      </c>
      <c r="N49" s="40">
        <v>89.514409999999998</v>
      </c>
      <c r="P49" s="40">
        <v>3.1281800000000004</v>
      </c>
      <c r="Q49" s="40">
        <v>4</v>
      </c>
      <c r="R49" s="40">
        <v>96.979370000000003</v>
      </c>
      <c r="S49" s="40">
        <v>96.979370000000003</v>
      </c>
      <c r="U49" s="40">
        <v>2.3461300000000023</v>
      </c>
      <c r="V49" s="40">
        <v>4</v>
      </c>
      <c r="W49" s="40" t="s">
        <v>622</v>
      </c>
      <c r="X49" s="40">
        <v>1000</v>
      </c>
      <c r="Y49" s="40">
        <f t="shared" si="14"/>
        <v>1</v>
      </c>
      <c r="Z49" s="40" t="str">
        <f t="shared" si="4"/>
        <v>Low</v>
      </c>
      <c r="AA49" s="40" t="s">
        <v>618</v>
      </c>
      <c r="AB49" s="40">
        <f t="shared" si="5"/>
        <v>-8.0098657563932071E-2</v>
      </c>
      <c r="AC49" s="40">
        <f t="shared" si="6"/>
        <v>3.0530756935328484E-4</v>
      </c>
      <c r="AD49" s="40">
        <f t="shared" si="7"/>
        <v>1.4631384973641978E-4</v>
      </c>
      <c r="AE49" s="40">
        <f t="shared" si="8"/>
        <v>4.5162141908970459E-4</v>
      </c>
      <c r="AF49" s="40" t="s">
        <v>623</v>
      </c>
      <c r="AH49" s="40" t="s">
        <v>614</v>
      </c>
    </row>
    <row r="50" spans="1:35" s="41" customFormat="1" ht="15.75" x14ac:dyDescent="0.2">
      <c r="A50" s="41">
        <v>49</v>
      </c>
      <c r="B50" s="41">
        <v>9</v>
      </c>
      <c r="C50" s="41" t="s">
        <v>634</v>
      </c>
      <c r="D50" s="41" t="s">
        <v>635</v>
      </c>
      <c r="F50" s="41" t="s">
        <v>662</v>
      </c>
      <c r="G50" s="41" t="s">
        <v>168</v>
      </c>
      <c r="H50" s="41" t="s">
        <v>167</v>
      </c>
      <c r="I50" s="41" t="s">
        <v>399</v>
      </c>
      <c r="J50" s="41">
        <v>9</v>
      </c>
      <c r="K50" s="41" t="s">
        <v>637</v>
      </c>
      <c r="L50" s="41">
        <v>3</v>
      </c>
      <c r="M50" s="41">
        <v>91.5</v>
      </c>
      <c r="N50" s="41">
        <v>91.5</v>
      </c>
      <c r="O50" s="41">
        <v>1.5</v>
      </c>
      <c r="P50" s="41">
        <f xml:space="preserve"> O50*SQRT(L50)</f>
        <v>2.598076211353316</v>
      </c>
      <c r="Q50" s="41">
        <v>3</v>
      </c>
      <c r="R50" s="41">
        <v>94.9</v>
      </c>
      <c r="S50" s="41">
        <v>94.9</v>
      </c>
      <c r="T50" s="41">
        <v>1.7</v>
      </c>
      <c r="U50" s="41">
        <f xml:space="preserve"> T50*SQRT(Q50)</f>
        <v>2.9444863728670914</v>
      </c>
      <c r="V50" s="41">
        <v>3</v>
      </c>
      <c r="W50" s="41" t="s">
        <v>636</v>
      </c>
      <c r="X50" s="41">
        <v>7.2</v>
      </c>
      <c r="Y50" s="41">
        <f>X50/1000</f>
        <v>7.1999999999999998E-3</v>
      </c>
      <c r="Z50" s="41" t="str">
        <f t="shared" si="4"/>
        <v>Low</v>
      </c>
      <c r="AA50" s="41" t="s">
        <v>168</v>
      </c>
      <c r="AB50" s="41">
        <f t="shared" si="5"/>
        <v>-3.6484733334406556E-2</v>
      </c>
      <c r="AC50" s="41">
        <f t="shared" si="6"/>
        <v>2.6874496103198063E-4</v>
      </c>
      <c r="AD50" s="41">
        <f t="shared" si="7"/>
        <v>3.2089682334352285E-4</v>
      </c>
      <c r="AE50" s="41">
        <f t="shared" si="8"/>
        <v>5.8964178437550347E-4</v>
      </c>
      <c r="AF50" s="41" t="s">
        <v>114</v>
      </c>
      <c r="AH50" s="41" t="s">
        <v>614</v>
      </c>
    </row>
    <row r="51" spans="1:35" s="41" customFormat="1" ht="15.75" x14ac:dyDescent="0.2">
      <c r="A51" s="41">
        <v>50</v>
      </c>
      <c r="B51" s="41">
        <v>9</v>
      </c>
      <c r="C51" s="41" t="s">
        <v>634</v>
      </c>
      <c r="D51" s="41" t="s">
        <v>425</v>
      </c>
      <c r="F51" s="41" t="s">
        <v>662</v>
      </c>
      <c r="G51" s="41" t="s">
        <v>168</v>
      </c>
      <c r="H51" s="41" t="s">
        <v>167</v>
      </c>
      <c r="I51" s="41" t="s">
        <v>399</v>
      </c>
      <c r="J51" s="41">
        <v>9</v>
      </c>
      <c r="K51" s="41" t="s">
        <v>637</v>
      </c>
      <c r="L51" s="41">
        <v>3</v>
      </c>
      <c r="M51" s="41">
        <v>89.3</v>
      </c>
      <c r="N51" s="41">
        <v>89.3</v>
      </c>
      <c r="O51" s="41">
        <v>2.7</v>
      </c>
      <c r="P51" s="41">
        <f t="shared" ref="P51:P57" si="15" xml:space="preserve"> O51*SQRT(L51)</f>
        <v>4.676537180435969</v>
      </c>
      <c r="Q51" s="41">
        <v>3</v>
      </c>
      <c r="R51" s="41">
        <v>93.2</v>
      </c>
      <c r="S51" s="41">
        <v>93.2</v>
      </c>
      <c r="T51" s="41">
        <v>1</v>
      </c>
      <c r="U51" s="41">
        <f t="shared" ref="U51:U57" si="16" xml:space="preserve"> T51*SQRT(Q51)</f>
        <v>1.7320508075688772</v>
      </c>
      <c r="V51" s="41">
        <v>3</v>
      </c>
      <c r="W51" s="41" t="s">
        <v>636</v>
      </c>
      <c r="X51" s="41">
        <v>7.2</v>
      </c>
      <c r="Y51" s="41">
        <f>X51/1000</f>
        <v>7.1999999999999998E-3</v>
      </c>
      <c r="Z51" s="41" t="str">
        <f t="shared" si="4"/>
        <v>Low</v>
      </c>
      <c r="AA51" s="41" t="s">
        <v>168</v>
      </c>
      <c r="AB51" s="41">
        <f t="shared" si="5"/>
        <v>-4.2746233809092149E-2</v>
      </c>
      <c r="AC51" s="41">
        <f t="shared" si="6"/>
        <v>9.141650437833644E-4</v>
      </c>
      <c r="AD51" s="41">
        <f t="shared" si="7"/>
        <v>1.151246108788152E-4</v>
      </c>
      <c r="AE51" s="41">
        <f t="shared" si="8"/>
        <v>1.0292896546621796E-3</v>
      </c>
      <c r="AF51" s="41" t="s">
        <v>114</v>
      </c>
      <c r="AH51" s="41" t="s">
        <v>614</v>
      </c>
    </row>
    <row r="52" spans="1:35" s="43" customFormat="1" ht="15.75" x14ac:dyDescent="0.2">
      <c r="A52" s="43">
        <v>51</v>
      </c>
      <c r="B52" s="43">
        <v>10</v>
      </c>
      <c r="C52" s="43" t="s">
        <v>648</v>
      </c>
      <c r="D52" s="43" t="s">
        <v>649</v>
      </c>
      <c r="E52" s="43" t="s">
        <v>650</v>
      </c>
      <c r="F52" s="43" t="s">
        <v>133</v>
      </c>
      <c r="G52" s="43" t="s">
        <v>168</v>
      </c>
      <c r="H52" s="43" t="s">
        <v>140</v>
      </c>
      <c r="I52" s="43" t="s">
        <v>398</v>
      </c>
      <c r="J52" s="43">
        <v>10</v>
      </c>
      <c r="K52" s="43" t="s">
        <v>655</v>
      </c>
      <c r="L52" s="43">
        <v>5</v>
      </c>
      <c r="M52" s="43">
        <f t="shared" ref="M52:M57" si="17">1-(N52/100)</f>
        <v>0.99675570000000002</v>
      </c>
      <c r="N52" s="43">
        <v>0.32443</v>
      </c>
      <c r="O52" s="43">
        <f>0.06579/100</f>
        <v>6.579E-4</v>
      </c>
      <c r="P52" s="43">
        <f t="shared" si="15"/>
        <v>1.4711091223971117E-3</v>
      </c>
      <c r="Q52" s="43">
        <v>5</v>
      </c>
      <c r="R52" s="43">
        <f t="shared" ref="R52:R57" si="18">1-(S52/100)</f>
        <v>0.9959808</v>
      </c>
      <c r="S52" s="43">
        <v>0.40192</v>
      </c>
      <c r="T52" s="43">
        <f t="shared" ref="T52:T57" si="19">0.10587/100</f>
        <v>1.0587000000000001E-3</v>
      </c>
      <c r="U52" s="43">
        <f t="shared" si="16"/>
        <v>2.3673251677790276E-3</v>
      </c>
      <c r="V52" s="43">
        <v>5</v>
      </c>
      <c r="W52" s="43" t="s">
        <v>659</v>
      </c>
      <c r="X52" s="43">
        <v>50</v>
      </c>
      <c r="Y52" s="43">
        <f t="shared" ref="Y52:Y57" si="20" xml:space="preserve"> X52 * 1</f>
        <v>50</v>
      </c>
      <c r="Z52" s="43" t="str">
        <f t="shared" si="4"/>
        <v>High</v>
      </c>
      <c r="AA52" s="43" t="s">
        <v>651</v>
      </c>
      <c r="AB52" s="43">
        <f t="shared" si="5"/>
        <v>7.7772454015722476E-4</v>
      </c>
      <c r="AC52" s="43">
        <f t="shared" si="6"/>
        <v>4.3565461304721686E-7</v>
      </c>
      <c r="AD52" s="43">
        <f t="shared" si="7"/>
        <v>1.1299101068706366E-6</v>
      </c>
      <c r="AE52" s="43">
        <f t="shared" si="8"/>
        <v>1.5655647199178535E-6</v>
      </c>
      <c r="AF52" s="43" t="s">
        <v>212</v>
      </c>
      <c r="AH52" s="43" t="s">
        <v>614</v>
      </c>
      <c r="AI52" s="43" t="s">
        <v>697</v>
      </c>
    </row>
    <row r="53" spans="1:35" s="43" customFormat="1" ht="15.75" x14ac:dyDescent="0.2">
      <c r="A53" s="43">
        <v>52</v>
      </c>
      <c r="B53" s="43">
        <v>10</v>
      </c>
      <c r="C53" s="43" t="s">
        <v>648</v>
      </c>
      <c r="D53" s="43" t="s">
        <v>649</v>
      </c>
      <c r="E53" s="43" t="s">
        <v>650</v>
      </c>
      <c r="F53" s="43" t="s">
        <v>133</v>
      </c>
      <c r="G53" s="43" t="s">
        <v>168</v>
      </c>
      <c r="H53" s="43" t="s">
        <v>140</v>
      </c>
      <c r="I53" s="43" t="s">
        <v>398</v>
      </c>
      <c r="J53" s="43">
        <v>10</v>
      </c>
      <c r="K53" s="43" t="s">
        <v>655</v>
      </c>
      <c r="L53" s="43">
        <v>5</v>
      </c>
      <c r="M53" s="43">
        <f t="shared" si="17"/>
        <v>0.99425719999999995</v>
      </c>
      <c r="N53" s="43">
        <v>0.57428000000000001</v>
      </c>
      <c r="O53" s="43">
        <f>0.06472/100</f>
        <v>6.4720000000000001E-4</v>
      </c>
      <c r="P53" s="43">
        <f t="shared" si="15"/>
        <v>1.447183195037864E-3</v>
      </c>
      <c r="Q53" s="43">
        <v>5</v>
      </c>
      <c r="R53" s="43">
        <f t="shared" si="18"/>
        <v>0.9959808</v>
      </c>
      <c r="S53" s="43">
        <v>0.40192</v>
      </c>
      <c r="T53" s="43">
        <f t="shared" si="19"/>
        <v>1.0587000000000001E-3</v>
      </c>
      <c r="U53" s="43">
        <f t="shared" si="16"/>
        <v>2.3673251677790276E-3</v>
      </c>
      <c r="V53" s="43">
        <v>5</v>
      </c>
      <c r="W53" s="43" t="s">
        <v>659</v>
      </c>
      <c r="X53" s="43">
        <v>50</v>
      </c>
      <c r="Y53" s="43">
        <f t="shared" si="20"/>
        <v>50</v>
      </c>
      <c r="Z53" s="43" t="str">
        <f t="shared" si="4"/>
        <v>High</v>
      </c>
      <c r="AA53" s="43" t="s">
        <v>652</v>
      </c>
      <c r="AB53" s="43">
        <f t="shared" si="5"/>
        <v>-1.732054589352505E-3</v>
      </c>
      <c r="AC53" s="43">
        <f t="shared" si="6"/>
        <v>4.2372055055686923E-7</v>
      </c>
      <c r="AD53" s="43">
        <f t="shared" si="7"/>
        <v>1.1299101068706366E-6</v>
      </c>
      <c r="AE53" s="43">
        <f t="shared" si="8"/>
        <v>1.5536306574275058E-6</v>
      </c>
      <c r="AF53" s="43" t="s">
        <v>212</v>
      </c>
      <c r="AH53" s="43" t="s">
        <v>614</v>
      </c>
      <c r="AI53" s="43" t="s">
        <v>697</v>
      </c>
    </row>
    <row r="54" spans="1:35" s="43" customFormat="1" ht="15.75" x14ac:dyDescent="0.2">
      <c r="A54" s="43">
        <v>53</v>
      </c>
      <c r="B54" s="43">
        <v>10</v>
      </c>
      <c r="C54" s="43" t="s">
        <v>648</v>
      </c>
      <c r="D54" s="43" t="s">
        <v>649</v>
      </c>
      <c r="E54" s="43" t="s">
        <v>650</v>
      </c>
      <c r="F54" s="43" t="s">
        <v>133</v>
      </c>
      <c r="G54" s="43" t="s">
        <v>168</v>
      </c>
      <c r="H54" s="43" t="s">
        <v>140</v>
      </c>
      <c r="I54" s="43" t="s">
        <v>398</v>
      </c>
      <c r="J54" s="43">
        <v>10</v>
      </c>
      <c r="K54" s="43" t="s">
        <v>655</v>
      </c>
      <c r="L54" s="43">
        <v>5</v>
      </c>
      <c r="M54" s="43">
        <f t="shared" si="17"/>
        <v>0.99650919999999998</v>
      </c>
      <c r="N54" s="43">
        <v>0.34908</v>
      </c>
      <c r="O54" s="43">
        <f>0.1087/100</f>
        <v>1.0870000000000001E-3</v>
      </c>
      <c r="P54" s="43">
        <f t="shared" si="15"/>
        <v>2.4306058915422716E-3</v>
      </c>
      <c r="Q54" s="43">
        <v>5</v>
      </c>
      <c r="R54" s="43">
        <f t="shared" si="18"/>
        <v>0.9959808</v>
      </c>
      <c r="S54" s="43">
        <v>0.40192</v>
      </c>
      <c r="T54" s="43">
        <f t="shared" si="19"/>
        <v>1.0587000000000001E-3</v>
      </c>
      <c r="U54" s="43">
        <f t="shared" si="16"/>
        <v>2.3673251677790276E-3</v>
      </c>
      <c r="V54" s="43">
        <v>5</v>
      </c>
      <c r="W54" s="43" t="s">
        <v>653</v>
      </c>
      <c r="X54" s="43">
        <v>100</v>
      </c>
      <c r="Y54" s="43">
        <f t="shared" si="20"/>
        <v>100</v>
      </c>
      <c r="Z54" s="43" t="str">
        <f t="shared" si="4"/>
        <v>High</v>
      </c>
      <c r="AA54" s="43" t="s">
        <v>651</v>
      </c>
      <c r="AB54" s="43">
        <f t="shared" si="5"/>
        <v>5.3039163296894111E-4</v>
      </c>
      <c r="AC54" s="43">
        <f t="shared" si="6"/>
        <v>1.1898616387383209E-6</v>
      </c>
      <c r="AD54" s="43">
        <f t="shared" si="7"/>
        <v>1.1299101068706366E-6</v>
      </c>
      <c r="AE54" s="43">
        <f t="shared" si="8"/>
        <v>2.3197717456089575E-6</v>
      </c>
      <c r="AF54" s="43" t="s">
        <v>212</v>
      </c>
      <c r="AH54" s="43" t="s">
        <v>614</v>
      </c>
      <c r="AI54" s="43" t="s">
        <v>697</v>
      </c>
    </row>
    <row r="55" spans="1:35" s="43" customFormat="1" ht="15.75" x14ac:dyDescent="0.2">
      <c r="A55" s="43">
        <v>54</v>
      </c>
      <c r="B55" s="43">
        <v>10</v>
      </c>
      <c r="C55" s="43" t="s">
        <v>648</v>
      </c>
      <c r="D55" s="43" t="s">
        <v>649</v>
      </c>
      <c r="E55" s="43" t="s">
        <v>650</v>
      </c>
      <c r="F55" s="43" t="s">
        <v>133</v>
      </c>
      <c r="G55" s="43" t="s">
        <v>168</v>
      </c>
      <c r="H55" s="43" t="s">
        <v>140</v>
      </c>
      <c r="I55" s="43" t="s">
        <v>398</v>
      </c>
      <c r="J55" s="43">
        <v>10</v>
      </c>
      <c r="K55" s="43" t="s">
        <v>655</v>
      </c>
      <c r="L55" s="43">
        <v>5</v>
      </c>
      <c r="M55" s="43">
        <f t="shared" si="17"/>
        <v>0.99525549999999996</v>
      </c>
      <c r="N55" s="43">
        <v>0.47444999999999998</v>
      </c>
      <c r="O55" s="43">
        <f>0.08228/100</f>
        <v>8.2280000000000005E-4</v>
      </c>
      <c r="P55" s="43">
        <f t="shared" si="15"/>
        <v>1.8398367318868273E-3</v>
      </c>
      <c r="Q55" s="43">
        <v>5</v>
      </c>
      <c r="R55" s="43">
        <f t="shared" si="18"/>
        <v>0.9959808</v>
      </c>
      <c r="S55" s="43">
        <v>0.40192</v>
      </c>
      <c r="T55" s="43">
        <f t="shared" si="19"/>
        <v>1.0587000000000001E-3</v>
      </c>
      <c r="U55" s="43">
        <f t="shared" si="16"/>
        <v>2.3673251677790276E-3</v>
      </c>
      <c r="V55" s="43">
        <v>5</v>
      </c>
      <c r="W55" s="43" t="s">
        <v>653</v>
      </c>
      <c r="X55" s="43">
        <v>100</v>
      </c>
      <c r="Y55" s="43">
        <f t="shared" si="20"/>
        <v>100</v>
      </c>
      <c r="Z55" s="43" t="str">
        <f t="shared" si="4"/>
        <v>High</v>
      </c>
      <c r="AA55" s="43" t="s">
        <v>652</v>
      </c>
      <c r="AB55" s="43">
        <f t="shared" si="5"/>
        <v>-7.2849217551574069E-4</v>
      </c>
      <c r="AC55" s="43">
        <f t="shared" si="6"/>
        <v>6.8346990078958333E-7</v>
      </c>
      <c r="AD55" s="43">
        <f t="shared" si="7"/>
        <v>1.1299101068706366E-6</v>
      </c>
      <c r="AE55" s="43">
        <f t="shared" si="8"/>
        <v>1.8133800076602199E-6</v>
      </c>
      <c r="AF55" s="43" t="s">
        <v>212</v>
      </c>
      <c r="AH55" s="43" t="s">
        <v>614</v>
      </c>
      <c r="AI55" s="43" t="s">
        <v>697</v>
      </c>
    </row>
    <row r="56" spans="1:35" s="43" customFormat="1" ht="15.75" x14ac:dyDescent="0.2">
      <c r="A56" s="43">
        <v>55</v>
      </c>
      <c r="B56" s="43">
        <v>10</v>
      </c>
      <c r="C56" s="43" t="s">
        <v>648</v>
      </c>
      <c r="D56" s="43" t="s">
        <v>649</v>
      </c>
      <c r="E56" s="43" t="s">
        <v>650</v>
      </c>
      <c r="F56" s="43" t="s">
        <v>133</v>
      </c>
      <c r="G56" s="43" t="s">
        <v>168</v>
      </c>
      <c r="H56" s="43" t="s">
        <v>140</v>
      </c>
      <c r="I56" s="43" t="s">
        <v>398</v>
      </c>
      <c r="J56" s="43">
        <v>10</v>
      </c>
      <c r="K56" s="43" t="s">
        <v>655</v>
      </c>
      <c r="L56" s="43">
        <v>5</v>
      </c>
      <c r="M56" s="43">
        <f t="shared" si="17"/>
        <v>0.99575559999999996</v>
      </c>
      <c r="N56" s="43">
        <v>0.42443999999999998</v>
      </c>
      <c r="O56" s="43">
        <f>0.08618/100</f>
        <v>8.6180000000000002E-4</v>
      </c>
      <c r="P56" s="43">
        <f t="shared" si="15"/>
        <v>1.927043383009319E-3</v>
      </c>
      <c r="Q56" s="43">
        <v>5</v>
      </c>
      <c r="R56" s="43">
        <f t="shared" si="18"/>
        <v>0.9959808</v>
      </c>
      <c r="S56" s="43">
        <v>0.40192</v>
      </c>
      <c r="T56" s="43">
        <f t="shared" si="19"/>
        <v>1.0587000000000001E-3</v>
      </c>
      <c r="U56" s="43">
        <f t="shared" si="16"/>
        <v>2.3673251677790276E-3</v>
      </c>
      <c r="V56" s="43">
        <v>5</v>
      </c>
      <c r="W56" s="43" t="s">
        <v>654</v>
      </c>
      <c r="X56" s="43">
        <v>200</v>
      </c>
      <c r="Y56" s="43">
        <f t="shared" si="20"/>
        <v>200</v>
      </c>
      <c r="Z56" s="43" t="str">
        <f t="shared" si="4"/>
        <v>High</v>
      </c>
      <c r="AA56" s="43" t="s">
        <v>651</v>
      </c>
      <c r="AB56" s="43">
        <f t="shared" si="5"/>
        <v>-2.2613434283749249E-4</v>
      </c>
      <c r="AC56" s="43">
        <f t="shared" si="6"/>
        <v>7.4904423270212434E-7</v>
      </c>
      <c r="AD56" s="43">
        <f t="shared" si="7"/>
        <v>1.1299101068706366E-6</v>
      </c>
      <c r="AE56" s="43">
        <f t="shared" si="8"/>
        <v>1.8789543395727609E-6</v>
      </c>
      <c r="AF56" s="43" t="s">
        <v>212</v>
      </c>
      <c r="AH56" s="43" t="s">
        <v>614</v>
      </c>
      <c r="AI56" s="43" t="s">
        <v>697</v>
      </c>
    </row>
    <row r="57" spans="1:35" s="43" customFormat="1" ht="15.75" x14ac:dyDescent="0.2">
      <c r="A57" s="43">
        <v>56</v>
      </c>
      <c r="B57" s="43">
        <v>10</v>
      </c>
      <c r="C57" s="43" t="s">
        <v>648</v>
      </c>
      <c r="D57" s="43" t="s">
        <v>649</v>
      </c>
      <c r="E57" s="43" t="s">
        <v>650</v>
      </c>
      <c r="F57" s="43" t="s">
        <v>133</v>
      </c>
      <c r="G57" s="43" t="s">
        <v>168</v>
      </c>
      <c r="H57" s="43" t="s">
        <v>140</v>
      </c>
      <c r="I57" s="43" t="s">
        <v>398</v>
      </c>
      <c r="J57" s="43">
        <v>10</v>
      </c>
      <c r="K57" s="43" t="s">
        <v>655</v>
      </c>
      <c r="L57" s="43">
        <v>5</v>
      </c>
      <c r="M57" s="43">
        <f t="shared" si="17"/>
        <v>0.99799870000000002</v>
      </c>
      <c r="N57" s="43">
        <v>0.20013</v>
      </c>
      <c r="O57" s="43">
        <f>0.07536/100</f>
        <v>7.5359999999999999E-4</v>
      </c>
      <c r="P57" s="43">
        <f t="shared" si="15"/>
        <v>1.6851008278438416E-3</v>
      </c>
      <c r="Q57" s="43">
        <v>5</v>
      </c>
      <c r="R57" s="43">
        <f t="shared" si="18"/>
        <v>0.9959808</v>
      </c>
      <c r="S57" s="43">
        <v>0.40192</v>
      </c>
      <c r="T57" s="43">
        <f t="shared" si="19"/>
        <v>1.0587000000000001E-3</v>
      </c>
      <c r="U57" s="43">
        <f t="shared" si="16"/>
        <v>2.3673251677790276E-3</v>
      </c>
      <c r="V57" s="43">
        <v>5</v>
      </c>
      <c r="W57" s="43" t="s">
        <v>654</v>
      </c>
      <c r="X57" s="43">
        <v>200</v>
      </c>
      <c r="Y57" s="43">
        <f t="shared" si="20"/>
        <v>200</v>
      </c>
      <c r="Z57" s="43" t="str">
        <f t="shared" si="4"/>
        <v>High</v>
      </c>
      <c r="AA57" s="43" t="s">
        <v>652</v>
      </c>
      <c r="AB57" s="43">
        <f t="shared" si="5"/>
        <v>2.023993415046495E-3</v>
      </c>
      <c r="AC57" s="43">
        <f t="shared" si="6"/>
        <v>5.7019293048587391E-7</v>
      </c>
      <c r="AD57" s="43">
        <f t="shared" si="7"/>
        <v>1.1299101068706366E-6</v>
      </c>
      <c r="AE57" s="43">
        <f t="shared" si="8"/>
        <v>1.7001030373565106E-6</v>
      </c>
      <c r="AF57" s="43" t="s">
        <v>212</v>
      </c>
      <c r="AH57" s="43" t="s">
        <v>614</v>
      </c>
      <c r="AI57" s="43" t="s">
        <v>697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W184"/>
  <sheetViews>
    <sheetView zoomScale="70" zoomScaleNormal="70" workbookViewId="0">
      <pane ySplit="1" topLeftCell="A2" activePane="bottomLeft" state="frozen"/>
      <selection pane="bottomLeft" activeCell="F13" sqref="F13"/>
    </sheetView>
  </sheetViews>
  <sheetFormatPr defaultRowHeight="14.25" x14ac:dyDescent="0.2"/>
  <cols>
    <col min="1" max="1" width="30.875" customWidth="1"/>
  </cols>
  <sheetData>
    <row r="1" spans="1:8" s="52" customFormat="1" ht="18.75" x14ac:dyDescent="0.2">
      <c r="A1" s="52" t="s">
        <v>724</v>
      </c>
      <c r="B1" s="52">
        <v>2018</v>
      </c>
      <c r="C1" s="52">
        <v>2019</v>
      </c>
      <c r="D1" s="52">
        <v>2020</v>
      </c>
      <c r="E1" s="52">
        <v>2021</v>
      </c>
      <c r="F1" s="52">
        <v>2022</v>
      </c>
      <c r="G1" s="52">
        <v>2023</v>
      </c>
      <c r="H1" s="52">
        <v>2024</v>
      </c>
    </row>
    <row r="2" spans="1:8" s="49" customFormat="1" ht="18.75" x14ac:dyDescent="0.2">
      <c r="A2" s="49" t="s">
        <v>781</v>
      </c>
      <c r="B2" s="49">
        <v>0</v>
      </c>
      <c r="C2" s="49">
        <v>0</v>
      </c>
      <c r="D2" s="49">
        <v>0</v>
      </c>
      <c r="E2" s="49">
        <v>0</v>
      </c>
      <c r="F2" s="49">
        <v>0</v>
      </c>
      <c r="G2" s="49">
        <v>1</v>
      </c>
      <c r="H2" s="49">
        <v>0</v>
      </c>
    </row>
    <row r="3" spans="1:8" s="49" customFormat="1" ht="18.75" x14ac:dyDescent="0.2">
      <c r="A3" s="49" t="s">
        <v>782</v>
      </c>
      <c r="B3" s="49">
        <v>0</v>
      </c>
      <c r="C3" s="49">
        <v>0</v>
      </c>
      <c r="D3" s="49">
        <v>0</v>
      </c>
      <c r="E3" s="49">
        <v>0</v>
      </c>
      <c r="F3" s="49">
        <v>0</v>
      </c>
      <c r="G3" s="49">
        <v>1</v>
      </c>
      <c r="H3" s="49">
        <v>0</v>
      </c>
    </row>
    <row r="4" spans="1:8" s="49" customFormat="1" ht="18.75" x14ac:dyDescent="0.2">
      <c r="A4" s="49" t="s">
        <v>783</v>
      </c>
      <c r="B4" s="49">
        <v>0</v>
      </c>
      <c r="C4" s="49">
        <v>0</v>
      </c>
      <c r="D4" s="49">
        <v>0</v>
      </c>
      <c r="E4" s="49">
        <v>0</v>
      </c>
      <c r="F4" s="49">
        <v>1</v>
      </c>
      <c r="G4" s="49">
        <v>0</v>
      </c>
      <c r="H4" s="49">
        <v>0</v>
      </c>
    </row>
    <row r="5" spans="1:8" s="49" customFormat="1" ht="18.75" x14ac:dyDescent="0.2">
      <c r="A5" s="49" t="s">
        <v>729</v>
      </c>
      <c r="B5" s="49">
        <v>0</v>
      </c>
      <c r="C5" s="49">
        <v>0</v>
      </c>
      <c r="D5" s="49">
        <v>2</v>
      </c>
      <c r="E5" s="49">
        <v>1</v>
      </c>
      <c r="F5" s="49">
        <v>1</v>
      </c>
      <c r="G5" s="49">
        <v>0</v>
      </c>
      <c r="H5" s="49">
        <v>0</v>
      </c>
    </row>
    <row r="6" spans="1:8" s="49" customFormat="1" ht="18.75" x14ac:dyDescent="0.2">
      <c r="A6" s="49" t="s">
        <v>784</v>
      </c>
      <c r="B6" s="49">
        <v>0</v>
      </c>
      <c r="C6" s="49">
        <v>0</v>
      </c>
      <c r="D6" s="49">
        <v>0</v>
      </c>
      <c r="E6" s="49">
        <v>4</v>
      </c>
      <c r="F6" s="49">
        <v>0</v>
      </c>
      <c r="G6" s="49">
        <v>1</v>
      </c>
      <c r="H6" s="49">
        <v>0</v>
      </c>
    </row>
    <row r="7" spans="1:8" s="49" customFormat="1" ht="18.75" x14ac:dyDescent="0.2">
      <c r="A7" s="49" t="s">
        <v>751</v>
      </c>
      <c r="B7" s="49">
        <v>0</v>
      </c>
      <c r="C7" s="49">
        <v>0</v>
      </c>
      <c r="D7" s="49">
        <v>0</v>
      </c>
      <c r="E7" s="49">
        <v>1</v>
      </c>
      <c r="F7" s="49">
        <v>0</v>
      </c>
      <c r="G7" s="49">
        <v>0</v>
      </c>
      <c r="H7" s="49">
        <v>0</v>
      </c>
    </row>
    <row r="8" spans="1:8" s="49" customFormat="1" ht="18.75" x14ac:dyDescent="0.2">
      <c r="A8" s="49" t="s">
        <v>752</v>
      </c>
      <c r="B8" s="49">
        <v>0</v>
      </c>
      <c r="C8" s="49">
        <v>0</v>
      </c>
      <c r="D8" s="49">
        <v>1</v>
      </c>
      <c r="E8" s="49">
        <v>0</v>
      </c>
      <c r="F8" s="49">
        <v>0</v>
      </c>
      <c r="G8" s="49">
        <v>0</v>
      </c>
      <c r="H8" s="49">
        <v>0</v>
      </c>
    </row>
    <row r="9" spans="1:8" s="49" customFormat="1" ht="18.75" x14ac:dyDescent="0.2">
      <c r="A9" s="49" t="s">
        <v>753</v>
      </c>
      <c r="B9" s="49">
        <v>0</v>
      </c>
      <c r="C9" s="49">
        <v>0</v>
      </c>
      <c r="D9" s="49">
        <v>0</v>
      </c>
      <c r="E9" s="49">
        <v>0</v>
      </c>
      <c r="F9" s="49">
        <v>1</v>
      </c>
      <c r="G9" s="49">
        <v>2</v>
      </c>
      <c r="H9" s="49">
        <v>0</v>
      </c>
    </row>
    <row r="10" spans="1:8" s="49" customFormat="1" ht="18.75" x14ac:dyDescent="0.2">
      <c r="A10" s="49" t="s">
        <v>754</v>
      </c>
      <c r="B10" s="49">
        <v>0</v>
      </c>
      <c r="C10" s="49">
        <v>0</v>
      </c>
      <c r="D10" s="49">
        <v>0</v>
      </c>
      <c r="E10" s="49">
        <v>0</v>
      </c>
      <c r="F10" s="49">
        <v>1</v>
      </c>
      <c r="G10" s="49">
        <v>0</v>
      </c>
      <c r="H10" s="49">
        <v>0</v>
      </c>
    </row>
    <row r="11" spans="1:8" s="49" customFormat="1" ht="18.75" x14ac:dyDescent="0.2">
      <c r="A11" s="49" t="s">
        <v>755</v>
      </c>
      <c r="B11" s="49">
        <v>0</v>
      </c>
      <c r="C11" s="49">
        <v>0</v>
      </c>
      <c r="D11" s="49">
        <v>0</v>
      </c>
      <c r="E11" s="49">
        <v>0</v>
      </c>
      <c r="F11" s="49">
        <v>1</v>
      </c>
      <c r="G11" s="49">
        <v>0</v>
      </c>
      <c r="H11" s="49">
        <v>0</v>
      </c>
    </row>
    <row r="12" spans="1:8" s="49" customFormat="1" ht="18.75" x14ac:dyDescent="0.2">
      <c r="A12" s="49" t="s">
        <v>756</v>
      </c>
      <c r="B12" s="49">
        <v>0</v>
      </c>
      <c r="C12" s="49">
        <v>0</v>
      </c>
      <c r="D12" s="49">
        <v>0</v>
      </c>
      <c r="E12" s="49">
        <v>1</v>
      </c>
      <c r="F12" s="49">
        <v>0</v>
      </c>
      <c r="G12" s="49">
        <v>0</v>
      </c>
      <c r="H12" s="49">
        <v>0</v>
      </c>
    </row>
    <row r="13" spans="1:8" s="49" customFormat="1" ht="18.75" x14ac:dyDescent="0.2">
      <c r="A13" s="49" t="s">
        <v>762</v>
      </c>
      <c r="B13" s="49">
        <v>0</v>
      </c>
      <c r="C13" s="49">
        <v>0</v>
      </c>
      <c r="D13" s="49">
        <v>0</v>
      </c>
      <c r="E13" s="49">
        <v>1</v>
      </c>
      <c r="F13" s="49">
        <v>0</v>
      </c>
      <c r="G13" s="49">
        <v>0</v>
      </c>
      <c r="H13" s="49">
        <v>0</v>
      </c>
    </row>
    <row r="14" spans="1:8" s="49" customFormat="1" ht="18.75" x14ac:dyDescent="0.2">
      <c r="A14" s="49" t="s">
        <v>757</v>
      </c>
      <c r="B14" s="49">
        <v>2</v>
      </c>
      <c r="C14" s="49">
        <v>1</v>
      </c>
      <c r="D14" s="49">
        <v>0</v>
      </c>
      <c r="E14" s="49">
        <v>1</v>
      </c>
      <c r="F14" s="49">
        <v>2</v>
      </c>
      <c r="G14" s="49">
        <v>0</v>
      </c>
      <c r="H14" s="49">
        <v>0</v>
      </c>
    </row>
    <row r="15" spans="1:8" s="49" customFormat="1" ht="18.75" x14ac:dyDescent="0.2">
      <c r="A15" s="49" t="s">
        <v>758</v>
      </c>
      <c r="B15" s="49">
        <v>0</v>
      </c>
      <c r="C15" s="49">
        <v>0</v>
      </c>
      <c r="D15" s="49">
        <v>0</v>
      </c>
      <c r="E15" s="49">
        <v>0</v>
      </c>
      <c r="F15" s="49">
        <v>0</v>
      </c>
      <c r="G15" s="49">
        <v>1</v>
      </c>
      <c r="H15" s="49">
        <v>0</v>
      </c>
    </row>
    <row r="16" spans="1:8" s="49" customFormat="1" ht="18.75" x14ac:dyDescent="0.2">
      <c r="A16" s="49" t="s">
        <v>759</v>
      </c>
      <c r="B16" s="49">
        <v>0</v>
      </c>
      <c r="C16" s="49">
        <v>1</v>
      </c>
      <c r="D16" s="49">
        <v>0</v>
      </c>
      <c r="E16" s="49">
        <v>1</v>
      </c>
      <c r="F16" s="49">
        <v>0</v>
      </c>
      <c r="G16" s="49">
        <v>1</v>
      </c>
      <c r="H16" s="49">
        <v>0</v>
      </c>
    </row>
    <row r="17" spans="1:49" s="49" customFormat="1" ht="18.75" x14ac:dyDescent="0.2">
      <c r="A17" s="49" t="s">
        <v>760</v>
      </c>
      <c r="B17" s="49">
        <v>0</v>
      </c>
      <c r="C17" s="49">
        <v>0</v>
      </c>
      <c r="D17" s="49">
        <v>0</v>
      </c>
      <c r="E17" s="49">
        <v>0</v>
      </c>
      <c r="F17" s="49">
        <v>1</v>
      </c>
      <c r="G17" s="49">
        <v>0</v>
      </c>
      <c r="H17" s="49">
        <v>0</v>
      </c>
    </row>
    <row r="18" spans="1:49" s="49" customFormat="1" ht="18.75" x14ac:dyDescent="0.2">
      <c r="A18" s="49" t="s">
        <v>761</v>
      </c>
      <c r="B18" s="49">
        <v>0</v>
      </c>
      <c r="C18" s="49">
        <v>0</v>
      </c>
      <c r="D18" s="49">
        <v>1</v>
      </c>
      <c r="E18" s="49">
        <v>0</v>
      </c>
      <c r="F18" s="49">
        <v>0</v>
      </c>
      <c r="G18" s="49">
        <v>2</v>
      </c>
      <c r="H18" s="49">
        <v>0</v>
      </c>
    </row>
    <row r="19" spans="1:49" s="49" customFormat="1" ht="18.75" x14ac:dyDescent="0.2">
      <c r="A19" s="49" t="s">
        <v>785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1</v>
      </c>
    </row>
    <row r="20" spans="1:49" s="49" customFormat="1" ht="18.75" x14ac:dyDescent="0.2">
      <c r="A20" s="49" t="s">
        <v>786</v>
      </c>
      <c r="B20" s="49">
        <v>0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9">
        <v>1</v>
      </c>
    </row>
    <row r="21" spans="1:49" s="49" customFormat="1" ht="18.75" x14ac:dyDescent="0.2">
      <c r="A21" s="49" t="s">
        <v>787</v>
      </c>
      <c r="B21" s="49">
        <v>0</v>
      </c>
      <c r="C21" s="49">
        <v>0</v>
      </c>
      <c r="D21" s="49">
        <v>0</v>
      </c>
      <c r="E21" s="49">
        <v>0</v>
      </c>
      <c r="F21" s="49">
        <v>0</v>
      </c>
      <c r="G21" s="49">
        <v>1</v>
      </c>
      <c r="H21" s="49">
        <v>0</v>
      </c>
    </row>
    <row r="22" spans="1:49" ht="17.25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</row>
    <row r="23" spans="1:49" ht="17.25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</row>
    <row r="24" spans="1:49" ht="17.25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</row>
    <row r="25" spans="1:49" ht="17.25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</row>
    <row r="26" spans="1:49" ht="17.25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</row>
    <row r="27" spans="1:49" ht="17.25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</row>
    <row r="28" spans="1:49" ht="17.25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</row>
    <row r="29" spans="1:49" ht="17.25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</row>
    <row r="30" spans="1:49" ht="17.25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</row>
    <row r="31" spans="1:49" ht="17.25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</row>
    <row r="32" spans="1:49" ht="17.25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</row>
    <row r="33" spans="1:49" ht="17.25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</row>
    <row r="34" spans="1:49" ht="17.25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</row>
    <row r="35" spans="1:49" ht="17.25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</row>
    <row r="36" spans="1:49" ht="17.25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</row>
    <row r="37" spans="1:49" ht="17.25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</row>
    <row r="38" spans="1:49" ht="17.25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</row>
    <row r="39" spans="1:49" ht="17.25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</row>
    <row r="40" spans="1:49" ht="17.25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</row>
    <row r="41" spans="1:49" ht="17.25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</row>
    <row r="42" spans="1:49" ht="17.25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</row>
    <row r="43" spans="1:49" ht="17.25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</row>
    <row r="44" spans="1:49" ht="17.25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</row>
    <row r="45" spans="1:49" ht="17.25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</row>
    <row r="46" spans="1:49" ht="17.25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</row>
    <row r="47" spans="1:49" ht="17.25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</row>
    <row r="48" spans="1:49" ht="17.25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</row>
    <row r="49" spans="1:49" ht="17.25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</row>
    <row r="50" spans="1:49" ht="17.25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</row>
    <row r="51" spans="1:49" ht="17.25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</row>
    <row r="52" spans="1:49" ht="17.25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</row>
    <row r="53" spans="1:49" ht="17.25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</row>
    <row r="54" spans="1:49" ht="17.25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</row>
    <row r="55" spans="1:49" ht="17.25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</row>
    <row r="56" spans="1:49" ht="17.25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</row>
    <row r="57" spans="1:49" ht="17.25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</row>
    <row r="58" spans="1:49" ht="17.25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</row>
    <row r="59" spans="1:49" ht="17.25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</row>
    <row r="60" spans="1:49" ht="17.25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</row>
    <row r="61" spans="1:49" ht="17.25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</row>
    <row r="62" spans="1:49" ht="17.25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</row>
    <row r="63" spans="1:49" ht="17.25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</row>
    <row r="64" spans="1:49" ht="17.25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</row>
    <row r="65" spans="1:49" ht="17.25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</row>
    <row r="66" spans="1:49" ht="17.25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</row>
    <row r="67" spans="1:49" ht="17.25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</row>
    <row r="68" spans="1:49" ht="17.25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</row>
    <row r="69" spans="1:49" ht="17.25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</row>
    <row r="70" spans="1:49" ht="17.25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</row>
    <row r="71" spans="1:49" ht="17.25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</row>
    <row r="72" spans="1:49" ht="17.25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</row>
    <row r="73" spans="1:49" ht="17.25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</row>
    <row r="74" spans="1:49" ht="17.25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</row>
    <row r="75" spans="1:49" ht="17.25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</row>
    <row r="76" spans="1:49" ht="17.25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</row>
    <row r="77" spans="1:49" ht="17.25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</row>
    <row r="78" spans="1:49" ht="17.25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</row>
    <row r="79" spans="1:49" ht="17.25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</row>
    <row r="80" spans="1:49" ht="17.25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</row>
    <row r="81" spans="1:49" ht="17.25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</row>
    <row r="82" spans="1:49" ht="17.25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</row>
    <row r="83" spans="1:49" ht="17.25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</row>
    <row r="84" spans="1:49" ht="17.25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</row>
    <row r="85" spans="1:49" ht="17.25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</row>
    <row r="86" spans="1:49" ht="17.25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</row>
    <row r="87" spans="1:49" ht="17.25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</row>
    <row r="88" spans="1:49" ht="17.25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</row>
    <row r="89" spans="1:49" ht="17.25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</row>
    <row r="90" spans="1:49" ht="17.25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</row>
    <row r="91" spans="1:49" ht="17.25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</row>
    <row r="92" spans="1:49" ht="17.25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</row>
    <row r="93" spans="1:49" ht="17.25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</row>
    <row r="94" spans="1:49" ht="17.25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</row>
    <row r="95" spans="1:49" ht="17.25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</row>
    <row r="96" spans="1:49" ht="17.25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</row>
    <row r="97" spans="1:49" ht="17.25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</row>
    <row r="98" spans="1:49" ht="17.25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</row>
    <row r="99" spans="1:49" ht="17.25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</row>
    <row r="100" spans="1:49" ht="17.25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</row>
    <row r="101" spans="1:49" ht="17.25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</row>
    <row r="102" spans="1:49" ht="17.25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</row>
    <row r="103" spans="1:49" ht="17.25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</row>
    <row r="104" spans="1:49" ht="17.25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</row>
    <row r="105" spans="1:49" ht="17.25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</row>
    <row r="106" spans="1:49" ht="17.25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</row>
    <row r="107" spans="1:49" ht="17.25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</row>
    <row r="108" spans="1:49" ht="17.25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</row>
    <row r="109" spans="1:49" ht="17.25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</row>
    <row r="110" spans="1:49" ht="17.25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</row>
    <row r="111" spans="1:49" ht="17.25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</row>
    <row r="112" spans="1:49" ht="17.25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</row>
    <row r="113" spans="1:49" ht="17.25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</row>
    <row r="114" spans="1:49" ht="17.25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</row>
    <row r="115" spans="1:49" ht="17.25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</row>
    <row r="116" spans="1:49" ht="17.25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</row>
    <row r="117" spans="1:49" ht="17.25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</row>
    <row r="118" spans="1:49" ht="17.25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</row>
    <row r="119" spans="1:49" ht="17.25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</row>
    <row r="120" spans="1:49" ht="17.25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</row>
    <row r="121" spans="1:49" ht="17.25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</row>
    <row r="122" spans="1:49" ht="17.25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</row>
    <row r="123" spans="1:49" ht="17.25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</row>
    <row r="124" spans="1:49" ht="17.25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</row>
    <row r="125" spans="1:49" ht="17.25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</row>
    <row r="126" spans="1:49" ht="17.25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</row>
    <row r="127" spans="1:49" ht="17.25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</row>
    <row r="128" spans="1:49" ht="17.25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</row>
    <row r="129" spans="1:49" ht="17.25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</row>
    <row r="130" spans="1:49" ht="17.25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</row>
    <row r="131" spans="1:49" ht="17.25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</row>
    <row r="132" spans="1:49" ht="17.25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</row>
    <row r="133" spans="1:49" ht="17.25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</row>
    <row r="134" spans="1:49" ht="17.25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</row>
    <row r="135" spans="1:49" ht="17.25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</row>
    <row r="136" spans="1:49" ht="17.25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</row>
    <row r="137" spans="1:49" ht="17.25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</row>
    <row r="138" spans="1:49" ht="17.25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</row>
    <row r="139" spans="1:49" ht="17.25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</row>
    <row r="140" spans="1:49" ht="17.25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</row>
    <row r="141" spans="1:49" ht="17.25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</row>
    <row r="142" spans="1:49" ht="17.25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</row>
    <row r="143" spans="1:49" ht="17.25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</row>
    <row r="144" spans="1:49" ht="17.25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</row>
    <row r="145" spans="1:49" ht="17.25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</row>
    <row r="146" spans="1:49" ht="17.25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</row>
    <row r="147" spans="1:49" ht="17.25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</row>
    <row r="148" spans="1:49" ht="17.25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</row>
    <row r="149" spans="1:49" ht="17.25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</row>
    <row r="150" spans="1:49" ht="17.25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</row>
    <row r="151" spans="1:49" ht="17.25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</row>
    <row r="152" spans="1:49" ht="17.25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</row>
    <row r="153" spans="1:49" ht="17.25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</row>
    <row r="154" spans="1:49" ht="17.25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</row>
    <row r="155" spans="1:49" ht="17.25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</row>
    <row r="156" spans="1:49" ht="17.25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</row>
    <row r="157" spans="1:49" ht="17.25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</row>
    <row r="158" spans="1:49" ht="17.25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</row>
    <row r="159" spans="1:49" ht="17.25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</row>
    <row r="160" spans="1:49" ht="17.25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</row>
    <row r="161" spans="1:49" ht="17.25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</row>
    <row r="162" spans="1:49" ht="17.25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</row>
    <row r="163" spans="1:49" ht="17.25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</row>
    <row r="164" spans="1:49" ht="17.25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</row>
    <row r="165" spans="1:49" ht="17.25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</row>
    <row r="166" spans="1:49" ht="17.25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</row>
    <row r="167" spans="1:49" ht="17.25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</row>
    <row r="168" spans="1:49" ht="17.25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</row>
    <row r="169" spans="1:49" ht="17.25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</row>
    <row r="170" spans="1:49" ht="17.25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</row>
    <row r="171" spans="1:49" ht="17.25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</row>
    <row r="172" spans="1:49" ht="17.25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</row>
    <row r="173" spans="1:49" ht="17.25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</row>
    <row r="174" spans="1:49" ht="17.25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</row>
    <row r="175" spans="1:49" ht="17.25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</row>
    <row r="176" spans="1:49" ht="17.25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</row>
    <row r="177" spans="1:49" ht="17.25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</row>
    <row r="178" spans="1:49" ht="17.25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</row>
    <row r="179" spans="1:49" ht="17.25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</row>
    <row r="180" spans="1:49" ht="17.25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</row>
    <row r="181" spans="1:49" ht="17.25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</row>
    <row r="182" spans="1:49" ht="17.25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</row>
    <row r="183" spans="1:49" ht="17.25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</row>
    <row r="184" spans="1:49" ht="17.25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</row>
  </sheetData>
  <phoneticPr fontId="1" type="noConversion"/>
  <hyperlinks>
    <hyperlink ref="A17" r:id="rId1" display="https://www.mdpi.com/journal/water" xr:uid="{00000000-0004-0000-1400-00000000000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Data</vt:lpstr>
      <vt:lpstr>Behaviour </vt:lpstr>
      <vt:lpstr>Development </vt:lpstr>
      <vt:lpstr>Fecundity</vt:lpstr>
      <vt:lpstr>Feeding</vt:lpstr>
      <vt:lpstr>Growth</vt:lpstr>
      <vt:lpstr>Heath </vt:lpstr>
      <vt:lpstr>Survival</vt:lpstr>
      <vt:lpstr> Origin 1</vt:lpstr>
      <vt:lpstr>Origin 2</vt:lpstr>
      <vt:lpstr>Data!_Hlk182741807</vt:lpstr>
      <vt:lpstr>Data!_Hlk182925330</vt:lpstr>
      <vt:lpstr>Data!_Hlk182925431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r'r</dc:creator>
  <cp:lastModifiedBy>r'r</cp:lastModifiedBy>
  <dcterms:created xsi:type="dcterms:W3CDTF">2024-07-14T06:32:49Z</dcterms:created>
  <dcterms:modified xsi:type="dcterms:W3CDTF">2024-11-20T03:32:39Z</dcterms:modified>
</cp:coreProperties>
</file>