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L9000/Dropbox (MIT)/DesktopMuonDetector/CosmicWatch/GitHub/CosmicWatch-Desktop-Muon-Detector-v2/"/>
    </mc:Choice>
  </mc:AlternateContent>
  <bookViews>
    <workbookView xWindow="5360" yWindow="440" windowWidth="28240" windowHeight="19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50" i="1"/>
  <c r="E71" i="1"/>
  <c r="E10" i="1"/>
  <c r="E11" i="1"/>
  <c r="E12" i="1"/>
  <c r="E13" i="1"/>
  <c r="E14" i="1"/>
  <c r="E17" i="1"/>
  <c r="E16" i="1"/>
  <c r="E26" i="1"/>
  <c r="E15" i="1"/>
  <c r="E18" i="1"/>
  <c r="E19" i="1"/>
  <c r="E20" i="1"/>
  <c r="E23" i="1"/>
  <c r="E22" i="1"/>
  <c r="E21" i="1"/>
  <c r="E27" i="1"/>
  <c r="E28" i="1"/>
  <c r="E63" i="1"/>
  <c r="E62" i="1"/>
  <c r="E64" i="1"/>
  <c r="E67" i="1"/>
  <c r="E66" i="1"/>
  <c r="E35" i="1"/>
  <c r="E34" i="1"/>
  <c r="E56" i="1"/>
  <c r="E49" i="1"/>
  <c r="E68" i="1"/>
  <c r="E45" i="1"/>
  <c r="E54" i="1"/>
  <c r="E57" i="1"/>
  <c r="E58" i="1"/>
  <c r="E29" i="1"/>
  <c r="E30" i="1"/>
  <c r="E31" i="1"/>
  <c r="E32" i="1"/>
  <c r="E33" i="1"/>
  <c r="E42" i="1"/>
  <c r="E36" i="1"/>
  <c r="E37" i="1"/>
  <c r="E38" i="1"/>
  <c r="E40" i="1"/>
  <c r="E44" i="1"/>
</calcChain>
</file>

<file path=xl/sharedStrings.xml><?xml version="1.0" encoding="utf-8"?>
<sst xmlns="http://schemas.openxmlformats.org/spreadsheetml/2006/main" count="184" uniqueCount="170">
  <si>
    <t>Link</t>
  </si>
  <si>
    <t>RES SMD 10K OHM 1% 1/8W 0805</t>
  </si>
  <si>
    <t>RES SMD 226K OHM 1% 1/8W 0805</t>
  </si>
  <si>
    <t>RES SMD 1K OHM 1% 1/8W 0805</t>
  </si>
  <si>
    <t>RES SMD 100K OHM 1% 1/8W 0805</t>
  </si>
  <si>
    <t>DIODE SCHOTTKY 40V 500MA SOD123</t>
  </si>
  <si>
    <t>FIXED IND 47UH 170MA 1.3 OHM SMD</t>
  </si>
  <si>
    <t>CAP CER 22PF 50V NP0 0805</t>
  </si>
  <si>
    <t>CAP CER 0.47UF 50V X7R 0805</t>
  </si>
  <si>
    <t>CAP CER 1UF 50V Y5V 0805</t>
  </si>
  <si>
    <t>CAP CER 10UF 6.3V X5R 0805</t>
  </si>
  <si>
    <t>CAP CER 0.1UF 50V X7R 0805</t>
  </si>
  <si>
    <t>http://www.linear.com/product/LT3461A</t>
  </si>
  <si>
    <t>LT1807IS8#PBF</t>
  </si>
  <si>
    <t>Reset button</t>
  </si>
  <si>
    <t>SWITCH TACTILE SPST-NO 0.02A 15V</t>
  </si>
  <si>
    <t>Arduino Nano</t>
  </si>
  <si>
    <t>CONN BNC JACK R/A 50 OHM PCB</t>
  </si>
  <si>
    <t>CONN FEMALE 4POS .100" R/A TIN</t>
  </si>
  <si>
    <t>Discription</t>
  </si>
  <si>
    <t>RES SMD 49.9 OHM 1% 1/8W 0805</t>
  </si>
  <si>
    <t>6-pin connector</t>
  </si>
  <si>
    <t>Digikey part number: WM5514-ND</t>
  </si>
  <si>
    <t>Digikey part number: S5440-ND</t>
  </si>
  <si>
    <t>Digikey part number: P12215S-ND</t>
  </si>
  <si>
    <t>Digikey Part Number: 311-10.0KCRCT-ND</t>
  </si>
  <si>
    <t>Digikey Part Number: 311-226KCRCT-ND</t>
  </si>
  <si>
    <t>Digikey Part Number: 311-1.00KCRCT-ND</t>
  </si>
  <si>
    <t>Digikey Part Number: 311-100KCRCT-ND</t>
  </si>
  <si>
    <t>Digikey Part Number: MBR0540CT-ND</t>
  </si>
  <si>
    <t>Digikey Part Number: 490-4063-1-ND</t>
  </si>
  <si>
    <t>Digikey Part Number: 399-1113-1-ND</t>
  </si>
  <si>
    <t>Digikey Part Number: 399-8100-1-ND</t>
  </si>
  <si>
    <t>Digikey Part Number: 587-1308-1-ND</t>
  </si>
  <si>
    <t>Digikey Part Number: 490-1718-1-ND</t>
  </si>
  <si>
    <t>Digikey Part Number: 399-1170-1-ND</t>
  </si>
  <si>
    <t>Digikey Part Number: 1212-1229-ND</t>
  </si>
  <si>
    <t>Digikey Part Number: 311-49.9CRCT-ND</t>
  </si>
  <si>
    <t>Item</t>
  </si>
  <si>
    <t>Name</t>
  </si>
  <si>
    <t>1K resistor</t>
  </si>
  <si>
    <t>10k resistor</t>
  </si>
  <si>
    <t>100k resistor</t>
  </si>
  <si>
    <t>226k resistor</t>
  </si>
  <si>
    <t>Required number</t>
  </si>
  <si>
    <t>49.9 Ohm resistor</t>
  </si>
  <si>
    <t>LT3461ES6#TRPBF</t>
  </si>
  <si>
    <t>Digikey Part Number: WM17457-ND</t>
  </si>
  <si>
    <t>6-pin connector for SiPM PCB</t>
  </si>
  <si>
    <t>6pin header</t>
  </si>
  <si>
    <t>6-pin header for Main PCB</t>
  </si>
  <si>
    <t>ATmega328 CH340G</t>
  </si>
  <si>
    <t>5mm LED holder</t>
  </si>
  <si>
    <t>LED Light Mounting Holders </t>
  </si>
  <si>
    <t>http://sensl.com/estore/microfc-60035-smt/</t>
  </si>
  <si>
    <t>6x6mm SiPM MicroFC-60035-SMT</t>
  </si>
  <si>
    <t xml:space="preserve">SiPM </t>
  </si>
  <si>
    <t>Schottky diode</t>
  </si>
  <si>
    <t>OLED screen</t>
  </si>
  <si>
    <t>https://www.elecrow.com/10pcs-2-layer-pcb.html</t>
  </si>
  <si>
    <t>Main PCB + SiPM PCB</t>
  </si>
  <si>
    <t>Standoff for SiPM PCB</t>
  </si>
  <si>
    <t>Plastic scintillator screws</t>
  </si>
  <si>
    <t>McMasterCarr part number: 92470A024</t>
  </si>
  <si>
    <t>18-8 Stainless Steel, Number 0 Size, 5/16" Long</t>
  </si>
  <si>
    <t>Rubber feet</t>
  </si>
  <si>
    <t>Silicon bumper for feet</t>
  </si>
  <si>
    <t>Temperature sensor</t>
  </si>
  <si>
    <t xml:space="preserve">Plastic scintillator </t>
  </si>
  <si>
    <t>5x5x1 cm Plastic scintillator</t>
  </si>
  <si>
    <t>Aluminium case</t>
  </si>
  <si>
    <t>http://www.enclosuresandcasesinc.com/</t>
  </si>
  <si>
    <t>Front and back plate</t>
  </si>
  <si>
    <t>10x10cm of Aluminium foil for wrapping the Plastic scintilaltor</t>
  </si>
  <si>
    <t>Optical Gel</t>
  </si>
  <si>
    <t>https://www.amazon.com/Reynolds-Wrap-Aluminum-Foil-Square/dp/B00UNT0Y2M/ref=sr_1_1_a_it?ie=UTF8&amp;qid=1490898763&amp;sr=8-1&amp;keywords=aluminum+foil</t>
  </si>
  <si>
    <t>&lt;1ml</t>
  </si>
  <si>
    <t>Small amount of optical gel. Vaciline might work.</t>
  </si>
  <si>
    <t>Black electrical tap</t>
  </si>
  <si>
    <t>~1m</t>
  </si>
  <si>
    <t>Black electrical tape for making the Plastic scintillator light-tight</t>
  </si>
  <si>
    <t>https://www.amazon.com/Electrical-Tape-several-colors-Black/dp/B003ZWN5ZM/ref=sr_1_6?ie=UTF8&amp;qid=1490898934&amp;sr=8-6&amp;keywords=black+electrical+tape</t>
  </si>
  <si>
    <t>22pF capacitor</t>
  </si>
  <si>
    <t>0.47uF capacitor</t>
  </si>
  <si>
    <t>0.1uF capacitor</t>
  </si>
  <si>
    <t>1uF capacitor</t>
  </si>
  <si>
    <t>10uF capacitor</t>
  </si>
  <si>
    <t xml:space="preserve">5mm LED </t>
  </si>
  <si>
    <t>0.96" Inch I2c IIC OLED , 128x64</t>
  </si>
  <si>
    <t>2 layer, 10cm x 10cm, 1.6mm thickness</t>
  </si>
  <si>
    <t>Check Ebay or Amazon (example https://www.ebay.com/itm/131702108124)</t>
  </si>
  <si>
    <t>https://www.amazon.com/uxcell-Plastic-Holder-Light-emitting-Lighting/dp/B00K859CGK/ref=sr_1_8?s=hi&amp;ie=UTF8&amp;qid=1511358277&amp;sr=1-8&amp;keywords=LED+holder</t>
  </si>
  <si>
    <t>5mm, white looks best</t>
  </si>
  <si>
    <t>LT 1807 Op-Amp</t>
  </si>
  <si>
    <t>LT-3461 DC-DC Booster</t>
  </si>
  <si>
    <t>Digikey Part Number: CP-43515RSSJCT-ND</t>
  </si>
  <si>
    <t>3.5mm coincidence jack</t>
  </si>
  <si>
    <t xml:space="preserve">3.5mm audio, 4 conductor connection jack </t>
  </si>
  <si>
    <t>TMP36 analog sensor</t>
  </si>
  <si>
    <t>Check Ebay or Amazon (example: https://www.amazon.com/KOOKYE-Temperature-TMP36-Precision-Raspberry/dp/B01GH32AQU/ref=sr_1_1?ie=UTF8&amp;qid=1511358569&amp;sr=8-1&amp;keywords=tmp36 )</t>
  </si>
  <si>
    <t>Standoff threaded screws 0-80</t>
  </si>
  <si>
    <t>0-80 Thread Size, 1/4" Long</t>
  </si>
  <si>
    <t>McMasterCarr part number: 91771A055</t>
  </si>
  <si>
    <t>Price/Unit * number</t>
  </si>
  <si>
    <t>Detector Purchasing List</t>
  </si>
  <si>
    <t>Non-Inverting Buffer</t>
  </si>
  <si>
    <t>High Speed CMOS Logic Hex Non-Inverting Buffers</t>
  </si>
  <si>
    <t>Tin Foil or aluminum foil</t>
  </si>
  <si>
    <t>Aluminum Case</t>
  </si>
  <si>
    <t>http://www.linear.com/purchase/LT1807</t>
  </si>
  <si>
    <t>Mouser Part Number: 595-CD74HC4050M96, https://pl.mouser.com/ProductDetail/Texas-Instruments/CD74HC4050M96/?qs=%2fha2pyFadui%2fKTy9HJ5lBx4ALNzSbmkwpijTk2ATsjJyZvwqthYvbg%3d%3d</t>
  </si>
  <si>
    <t xml:space="preserve">Total: </t>
  </si>
  <si>
    <t>https://www.amazon.com/Bluecell-White-Electronics-Ultra-Bright/dp/B005ONQ41W/ref=sr_1_6?s=hi&amp;ie=UTF8&amp;qid=1511360268&amp;sr=1-6&amp;keywords=5mm+white+led</t>
  </si>
  <si>
    <t>BNC header + Nut</t>
  </si>
  <si>
    <t>4 pin header for OLED</t>
  </si>
  <si>
    <t>https://www.ebay.com/itm/200Pcs-Black-Silicone-Self-Adhesive-Rubber-Feet-Semicircle-Bumpers-Buffer-Pad-BE/192117515867?hash=item2cbb18a65b:g:gr4AAOSwWxNYt7qMdiameter/dp/B016GWHSBE/ref=pd_sim_60_1?_encoding=UTF8&amp;pd_rd_i=B016GWHSBE&amp;pd_rd_r=VR5P8R06S22F922NSZRT&amp;pd_rd_w=dl3hZ&amp;pd_rd_wg=INm00&amp;psc=1&amp;refRID=VR5P8R06S22F922NSZRT</t>
  </si>
  <si>
    <t>Other potential purchases</t>
  </si>
  <si>
    <t>microSD Card</t>
  </si>
  <si>
    <t>We recommend anything above 200 Mb. Here is a 2Gb that we use.</t>
  </si>
  <si>
    <t>https://www.amazon.com/gp/product/B06Y3JGZSD/ref=oh_aui_detailpage_o05_s01?ie=UTF8&amp;psc=1</t>
  </si>
  <si>
    <t>Total:</t>
  </si>
  <si>
    <t>microSD card socket</t>
  </si>
  <si>
    <t>Note 5: We do not include shipping or taxes in our costs analysis.</t>
  </si>
  <si>
    <t>Coincidence Cable</t>
  </si>
  <si>
    <t>https://www.amazon.com/dp/B0742CWDN8/ref=twister_B07429LJXQ?_encoding=UTF8&amp;psc=1</t>
  </si>
  <si>
    <t>Recommend laser cutting: https://www.elecrow.com/5pcs-acrylic-laser-cutting-service.html</t>
  </si>
  <si>
    <t>10cm x 15cm x 2.5mm acrylic end plates.</t>
  </si>
  <si>
    <t>Note 4: The case is optional. It is cosmetic but helps protect the detector.</t>
  </si>
  <si>
    <t>Short 3.5mm male to male audio cable. Either 3 or 4 conductor.</t>
  </si>
  <si>
    <t>3.3 V regulator</t>
  </si>
  <si>
    <t>IC REG LINEAR 3.3V 300MA SOT23-3</t>
  </si>
  <si>
    <t>Digikey part number: AP2210N-3.3TRG1DICT-ND</t>
  </si>
  <si>
    <t>BNC Cable</t>
  </si>
  <si>
    <t>https://www.amazon.com/Hosa-BNC-59-103-75-ohm-Coax-Cable/dp/B000068OFB/ref=sr_1_4?ie=UTF8&amp;qid=1511362998&amp;sr=8-4&amp;keywords=bnc+cable</t>
  </si>
  <si>
    <t>3 feet BNC cable for testing.</t>
  </si>
  <si>
    <t>Check Ebay or Amazon (example: https://www.ebay.com/itm/Silicone-Optical-Coupling-Compound-for-PMT-Photomultiplier-Scintillator-Detector-/261918290249)</t>
  </si>
  <si>
    <t>Note 2: We try and include a link in the form of the part number for each website</t>
  </si>
  <si>
    <t xml:space="preserve">Note 3: We purhace our components in bulk (as required by several of the components). The price/unit was determined by purchasing 100 of each component. </t>
  </si>
  <si>
    <t>47uH inductor</t>
  </si>
  <si>
    <t>Note 6: We've added one extra component to the required number of Resistors and Capacitors.</t>
  </si>
  <si>
    <t>Note 1: The color defines the seller of the component. Components are rather generic, therefore you should be able to use your favorite distributor.</t>
  </si>
  <si>
    <t>Feritte bead</t>
  </si>
  <si>
    <t>0 Ohm resistor</t>
  </si>
  <si>
    <t>RES SMD 0 OHM JUMPER 1/8W 0805</t>
  </si>
  <si>
    <t>Digikey Part Number: 311-0.0ARCT-ND</t>
  </si>
  <si>
    <t>You want something that peaks in the 420nm range.</t>
  </si>
  <si>
    <t>249 Ohm resistor</t>
  </si>
  <si>
    <t>RES SMD 249 OHM 1% 1/4W 0805</t>
  </si>
  <si>
    <t>Digikey Part Number: 311-249CRCT-ND</t>
  </si>
  <si>
    <t>24.9k resistor</t>
  </si>
  <si>
    <t>Digikey Part Number: RMCF0805FT24K9CT-ND</t>
  </si>
  <si>
    <t>RES SMD 24.9K OHM 1% 1/8W 0805</t>
  </si>
  <si>
    <t>10pF capacitor</t>
  </si>
  <si>
    <t>CAP CER 10PF 50V C0G/NP0 0805</t>
  </si>
  <si>
    <t>Digikey Part Number: 1276-1109-1-ND</t>
  </si>
  <si>
    <t>FERRITE BEAD 2.5 KOHM 0805 1LN</t>
  </si>
  <si>
    <t>Digikey Part Number: 587-1919-1-ND</t>
  </si>
  <si>
    <t>20 nF capacitor</t>
  </si>
  <si>
    <t>CAP CER 20nF 50V X7R 0805</t>
  </si>
  <si>
    <t>Digikey Part Number: 1276-2472-1-ND</t>
  </si>
  <si>
    <t>SMT SMD Cell Phone TF Micro SD Memory Card Slot Holder Sockets</t>
  </si>
  <si>
    <t>https://www.amazon.com/uxcell-Phone-Memory-Holder-Sockets/dp/B01AHYS7K8/ref=sr_1_1?ie=UTF8&amp;qid=1515421217&amp;sr=8-1&amp;keywords=uxcell+6+Pcs+SMT+SMDs682/141132599560?epid=1171059511&amp;hash=item20dc289108:g:qRkAAOxypNtSnqd3)</t>
  </si>
  <si>
    <t>Enclosure Purchasing List</t>
  </si>
  <si>
    <t>CAP CER 10000PF 50V X7R 0805</t>
  </si>
  <si>
    <t>490-1664-1-ND</t>
  </si>
  <si>
    <t>Digikey Part Number: 490-1664-1-ND</t>
  </si>
  <si>
    <t>10nF capacitor</t>
  </si>
  <si>
    <t>McMasterCarr part number: 91780A029</t>
  </si>
  <si>
    <t>1/8" Hex Size, 7/16"" Length, 0-80 Thread Size</t>
  </si>
  <si>
    <r>
      <t xml:space="preserve">Check Ebay or Amazon (example: https://www.ebay.com/itm/122441882218) </t>
    </r>
    <r>
      <rPr>
        <sz val="11"/>
        <color rgb="FFFF0000"/>
        <rFont val="Calibri (Body)"/>
      </rPr>
      <t>NOTE: VCC NEEDS TO BE THE 4th PIN ON THE OLED, IT CANNOT BE THE GND PIN. SOME MANUFACTURERS SWAP THE PINS.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</si>
</sst>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8"/>
      <color theme="0"/>
      <name val="Calibri"/>
      <scheme val="minor"/>
    </font>
    <font>
      <sz val="12"/>
      <color rgb="FF222222"/>
      <name val="Arial"/>
    </font>
    <font>
      <b/>
      <sz val="11"/>
      <color theme="1"/>
      <name val="Calibri"/>
      <scheme val="minor"/>
    </font>
    <font>
      <b/>
      <sz val="18"/>
      <color rgb="FF333333"/>
      <name val="Helvetica Neue"/>
    </font>
    <font>
      <sz val="12"/>
      <color rgb="FF000000"/>
      <name val="Arial"/>
    </font>
    <font>
      <b/>
      <sz val="14"/>
      <color rgb="FFFF0000"/>
      <name val="Calibri"/>
      <scheme val="minor"/>
    </font>
    <font>
      <sz val="11"/>
      <color rgb="FFFF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1" fillId="8" borderId="1" xfId="1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0" borderId="0" xfId="0" applyFont="1"/>
    <xf numFmtId="0" fontId="7" fillId="0" borderId="0" xfId="0" applyFont="1"/>
    <xf numFmtId="164" fontId="1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164" fontId="1" fillId="4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0" fontId="1" fillId="10" borderId="1" xfId="1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left" vertical="center"/>
    </xf>
    <xf numFmtId="0" fontId="5" fillId="11" borderId="1" xfId="1" applyFill="1" applyBorder="1" applyAlignment="1">
      <alignment horizontal="left"/>
    </xf>
    <xf numFmtId="0" fontId="1" fillId="11" borderId="1" xfId="0" applyFont="1" applyFill="1" applyBorder="1"/>
    <xf numFmtId="0" fontId="1" fillId="11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left" vertical="center"/>
    </xf>
    <xf numFmtId="0" fontId="1" fillId="12" borderId="1" xfId="1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left" vertical="center"/>
    </xf>
    <xf numFmtId="0" fontId="1" fillId="13" borderId="1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vertical="center"/>
    </xf>
    <xf numFmtId="164" fontId="1" fillId="14" borderId="2" xfId="0" applyNumberFormat="1" applyFont="1" applyFill="1" applyBorder="1" applyAlignment="1">
      <alignment horizontal="left" vertical="center"/>
    </xf>
    <xf numFmtId="0" fontId="1" fillId="14" borderId="2" xfId="0" applyFont="1" applyFill="1" applyBorder="1"/>
    <xf numFmtId="0" fontId="1" fillId="14" borderId="0" xfId="0" applyFont="1" applyFill="1"/>
    <xf numFmtId="164" fontId="1" fillId="0" borderId="0" xfId="0" applyNumberFormat="1" applyFont="1"/>
    <xf numFmtId="0" fontId="9" fillId="0" borderId="0" xfId="0" applyFont="1"/>
    <xf numFmtId="0" fontId="5" fillId="13" borderId="1" xfId="1" applyFill="1" applyBorder="1"/>
    <xf numFmtId="0" fontId="10" fillId="0" borderId="0" xfId="0" applyFont="1"/>
    <xf numFmtId="164" fontId="1" fillId="11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1" applyFill="1" applyBorder="1"/>
    <xf numFmtId="0" fontId="8" fillId="0" borderId="0" xfId="0" applyFont="1"/>
    <xf numFmtId="0" fontId="11" fillId="0" borderId="0" xfId="0" applyFont="1"/>
    <xf numFmtId="16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row.com/10pcs-2-layer-pcb.html" TargetMode="External"/><Relationship Id="rId4" Type="http://schemas.openxmlformats.org/officeDocument/2006/relationships/hyperlink" Target="https://www.amazon.com/dp/B0742CWDN8/ref=twister_B07429LJXQ?_encoding=UTF8&amp;psc=1" TargetMode="External"/><Relationship Id="rId5" Type="http://schemas.openxmlformats.org/officeDocument/2006/relationships/hyperlink" Target="https://www.amazon.com/dp/B0742CWDN8/ref=twister_B07429LJXQ?_encoding=UTF8&amp;psc=1" TargetMode="External"/><Relationship Id="rId1" Type="http://schemas.openxmlformats.org/officeDocument/2006/relationships/hyperlink" Target="https://www.amazon.com/Bluecell-White-Electronics-Ultra-Bright/dp/B005ONQ41W/ref=sr_1_6?s=hi&amp;ie=UTF8&amp;qid=1511360268&amp;sr=1-6&amp;keywords=5mm+white+led" TargetMode="External"/><Relationship Id="rId2" Type="http://schemas.openxmlformats.org/officeDocument/2006/relationships/hyperlink" Target="https://www.amazon.com/gp/product/B06Y3JGZSD/ref=oh_aui_detailpage_o05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abSelected="1" topLeftCell="D26" zoomScale="114" workbookViewId="0">
      <selection activeCell="G51" sqref="G51"/>
    </sheetView>
  </sheetViews>
  <sheetFormatPr baseColWidth="10" defaultRowHeight="16" x14ac:dyDescent="0.2"/>
  <cols>
    <col min="2" max="2" width="5.6640625" customWidth="1"/>
    <col min="3" max="3" width="30.1640625" customWidth="1"/>
    <col min="4" max="4" width="6.33203125" customWidth="1"/>
    <col min="5" max="5" width="18.33203125" customWidth="1"/>
    <col min="6" max="6" width="55.33203125" customWidth="1"/>
    <col min="7" max="7" width="217.5" customWidth="1"/>
  </cols>
  <sheetData>
    <row r="1" spans="2:7" x14ac:dyDescent="0.2">
      <c r="B1" s="20" t="s">
        <v>140</v>
      </c>
      <c r="C1" s="20"/>
    </row>
    <row r="2" spans="2:7" x14ac:dyDescent="0.2">
      <c r="B2" s="20" t="s">
        <v>136</v>
      </c>
      <c r="C2" s="20"/>
      <c r="F2" s="20"/>
    </row>
    <row r="3" spans="2:7" ht="17" customHeight="1" x14ac:dyDescent="0.25">
      <c r="B3" s="20" t="s">
        <v>137</v>
      </c>
      <c r="C3" s="20"/>
      <c r="F3" s="20"/>
      <c r="G3" s="54"/>
    </row>
    <row r="4" spans="2:7" x14ac:dyDescent="0.2">
      <c r="B4" s="20" t="s">
        <v>127</v>
      </c>
      <c r="C4" s="20"/>
      <c r="G4" s="21"/>
    </row>
    <row r="5" spans="2:7" x14ac:dyDescent="0.2">
      <c r="B5" s="20" t="s">
        <v>122</v>
      </c>
      <c r="C5" s="20"/>
      <c r="G5" s="56" t="s">
        <v>163</v>
      </c>
    </row>
    <row r="6" spans="2:7" x14ac:dyDescent="0.2">
      <c r="B6" s="20" t="s">
        <v>139</v>
      </c>
      <c r="F6" s="56"/>
      <c r="G6" s="56" t="s">
        <v>164</v>
      </c>
    </row>
    <row r="7" spans="2:7" x14ac:dyDescent="0.2">
      <c r="B7" s="20"/>
      <c r="F7" s="56"/>
      <c r="G7" s="21"/>
    </row>
    <row r="8" spans="2:7" ht="24" x14ac:dyDescent="0.3">
      <c r="B8" s="5" t="s">
        <v>104</v>
      </c>
      <c r="C8" s="6"/>
      <c r="D8" s="6"/>
      <c r="E8" s="6"/>
      <c r="F8" s="6"/>
      <c r="G8" s="6"/>
    </row>
    <row r="9" spans="2:7" x14ac:dyDescent="0.2">
      <c r="B9" s="3" t="s">
        <v>38</v>
      </c>
      <c r="C9" s="3" t="s">
        <v>39</v>
      </c>
      <c r="D9" s="3" t="s">
        <v>44</v>
      </c>
      <c r="E9" s="3" t="s">
        <v>103</v>
      </c>
      <c r="F9" s="4" t="s">
        <v>19</v>
      </c>
      <c r="G9" s="3" t="s">
        <v>0</v>
      </c>
    </row>
    <row r="10" spans="2:7" x14ac:dyDescent="0.2">
      <c r="B10" s="8">
        <v>1</v>
      </c>
      <c r="C10" s="8" t="s">
        <v>142</v>
      </c>
      <c r="D10" s="9">
        <v>5</v>
      </c>
      <c r="E10" s="22">
        <f>0.0071*D10</f>
        <v>3.5500000000000004E-2</v>
      </c>
      <c r="F10" s="10" t="s">
        <v>143</v>
      </c>
      <c r="G10" s="10" t="s">
        <v>144</v>
      </c>
    </row>
    <row r="11" spans="2:7" x14ac:dyDescent="0.2">
      <c r="B11" s="8">
        <v>2</v>
      </c>
      <c r="C11" s="8" t="s">
        <v>45</v>
      </c>
      <c r="D11" s="9">
        <v>4</v>
      </c>
      <c r="E11" s="22">
        <f>0.0088 *D11</f>
        <v>3.5200000000000002E-2</v>
      </c>
      <c r="F11" s="10" t="s">
        <v>20</v>
      </c>
      <c r="G11" s="10" t="s">
        <v>37</v>
      </c>
    </row>
    <row r="12" spans="2:7" x14ac:dyDescent="0.2">
      <c r="B12" s="8">
        <v>3</v>
      </c>
      <c r="C12" s="8" t="s">
        <v>146</v>
      </c>
      <c r="D12" s="9">
        <v>2</v>
      </c>
      <c r="E12" s="22">
        <f>0.0088 *D12</f>
        <v>1.7600000000000001E-2</v>
      </c>
      <c r="F12" s="10" t="s">
        <v>147</v>
      </c>
      <c r="G12" s="10" t="s">
        <v>148</v>
      </c>
    </row>
    <row r="13" spans="2:7" x14ac:dyDescent="0.2">
      <c r="B13" s="8">
        <v>4</v>
      </c>
      <c r="C13" s="8" t="s">
        <v>40</v>
      </c>
      <c r="D13" s="9">
        <v>4</v>
      </c>
      <c r="E13" s="22">
        <f>0.0088 *D13</f>
        <v>3.5200000000000002E-2</v>
      </c>
      <c r="F13" s="10" t="s">
        <v>3</v>
      </c>
      <c r="G13" s="10" t="s">
        <v>27</v>
      </c>
    </row>
    <row r="14" spans="2:7" x14ac:dyDescent="0.2">
      <c r="B14" s="8">
        <v>5</v>
      </c>
      <c r="C14" s="8" t="s">
        <v>41</v>
      </c>
      <c r="D14" s="9">
        <v>5</v>
      </c>
      <c r="E14" s="22">
        <f>0.0088*D14</f>
        <v>4.4000000000000004E-2</v>
      </c>
      <c r="F14" s="10" t="s">
        <v>1</v>
      </c>
      <c r="G14" s="10" t="s">
        <v>25</v>
      </c>
    </row>
    <row r="15" spans="2:7" x14ac:dyDescent="0.2">
      <c r="B15" s="8">
        <v>6</v>
      </c>
      <c r="C15" s="8" t="s">
        <v>149</v>
      </c>
      <c r="D15" s="9">
        <v>2</v>
      </c>
      <c r="E15" s="22">
        <f>0.0088 *D15</f>
        <v>1.7600000000000001E-2</v>
      </c>
      <c r="F15" s="10" t="s">
        <v>151</v>
      </c>
      <c r="G15" s="10" t="s">
        <v>150</v>
      </c>
    </row>
    <row r="16" spans="2:7" x14ac:dyDescent="0.2">
      <c r="B16" s="8">
        <v>7</v>
      </c>
      <c r="C16" s="8" t="s">
        <v>42</v>
      </c>
      <c r="D16" s="9">
        <v>3</v>
      </c>
      <c r="E16" s="22">
        <f>0.0088*D16</f>
        <v>2.64E-2</v>
      </c>
      <c r="F16" s="10" t="s">
        <v>4</v>
      </c>
      <c r="G16" s="10" t="s">
        <v>28</v>
      </c>
    </row>
    <row r="17" spans="2:7" x14ac:dyDescent="0.2">
      <c r="B17" s="8">
        <v>8</v>
      </c>
      <c r="C17" s="8" t="s">
        <v>43</v>
      </c>
      <c r="D17" s="9">
        <v>2</v>
      </c>
      <c r="E17" s="22">
        <f>0.0088*D17</f>
        <v>1.7600000000000001E-2</v>
      </c>
      <c r="F17" s="10" t="s">
        <v>2</v>
      </c>
      <c r="G17" s="10" t="s">
        <v>26</v>
      </c>
    </row>
    <row r="18" spans="2:7" x14ac:dyDescent="0.2">
      <c r="B18" s="8">
        <v>9</v>
      </c>
      <c r="C18" s="8" t="s">
        <v>152</v>
      </c>
      <c r="D18" s="9">
        <v>2</v>
      </c>
      <c r="E18" s="22">
        <f>0.0267 *D18</f>
        <v>5.3400000000000003E-2</v>
      </c>
      <c r="F18" s="10" t="s">
        <v>153</v>
      </c>
      <c r="G18" s="10" t="s">
        <v>154</v>
      </c>
    </row>
    <row r="19" spans="2:7" x14ac:dyDescent="0.2">
      <c r="B19" s="8">
        <v>10</v>
      </c>
      <c r="C19" s="8" t="s">
        <v>82</v>
      </c>
      <c r="D19" s="9">
        <v>2</v>
      </c>
      <c r="E19" s="22">
        <f>0.0248 *D19</f>
        <v>4.9599999999999998E-2</v>
      </c>
      <c r="F19" s="10" t="s">
        <v>7</v>
      </c>
      <c r="G19" s="10" t="s">
        <v>31</v>
      </c>
    </row>
    <row r="20" spans="2:7" x14ac:dyDescent="0.2">
      <c r="B20" s="8">
        <v>11</v>
      </c>
      <c r="C20" s="8" t="s">
        <v>83</v>
      </c>
      <c r="D20" s="9">
        <v>2</v>
      </c>
      <c r="E20" s="22">
        <f>0.1092 *D20</f>
        <v>0.21840000000000001</v>
      </c>
      <c r="F20" s="10" t="s">
        <v>8</v>
      </c>
      <c r="G20" s="10" t="s">
        <v>32</v>
      </c>
    </row>
    <row r="21" spans="2:7" x14ac:dyDescent="0.2">
      <c r="B21" s="8">
        <v>12</v>
      </c>
      <c r="C21" s="8" t="s">
        <v>157</v>
      </c>
      <c r="D21" s="8">
        <v>6</v>
      </c>
      <c r="E21" s="23">
        <f>0.0158*D21</f>
        <v>9.4800000000000009E-2</v>
      </c>
      <c r="F21" s="10" t="s">
        <v>158</v>
      </c>
      <c r="G21" s="10" t="s">
        <v>159</v>
      </c>
    </row>
    <row r="22" spans="2:7" x14ac:dyDescent="0.2">
      <c r="B22" s="8">
        <v>13</v>
      </c>
      <c r="C22" s="8" t="s">
        <v>84</v>
      </c>
      <c r="D22" s="9">
        <v>4</v>
      </c>
      <c r="E22" s="22">
        <f>0.0248*D22</f>
        <v>9.9199999999999997E-2</v>
      </c>
      <c r="F22" s="10" t="s">
        <v>11</v>
      </c>
      <c r="G22" s="10" t="s">
        <v>35</v>
      </c>
    </row>
    <row r="23" spans="2:7" x14ac:dyDescent="0.2">
      <c r="B23" s="8">
        <v>14</v>
      </c>
      <c r="C23" s="8" t="s">
        <v>85</v>
      </c>
      <c r="D23" s="9">
        <v>3</v>
      </c>
      <c r="E23" s="22">
        <f>0.038*D23</f>
        <v>0.11399999999999999</v>
      </c>
      <c r="F23" s="10" t="s">
        <v>9</v>
      </c>
      <c r="G23" s="10" t="s">
        <v>33</v>
      </c>
    </row>
    <row r="24" spans="2:7" x14ac:dyDescent="0.2">
      <c r="B24" s="8">
        <v>15</v>
      </c>
      <c r="C24" s="8" t="s">
        <v>166</v>
      </c>
      <c r="D24" s="9">
        <v>4</v>
      </c>
      <c r="E24" s="22">
        <f>0.0335</f>
        <v>3.3500000000000002E-2</v>
      </c>
      <c r="F24" s="10" t="s">
        <v>163</v>
      </c>
      <c r="G24" s="10" t="s">
        <v>165</v>
      </c>
    </row>
    <row r="25" spans="2:7" x14ac:dyDescent="0.2">
      <c r="B25" s="8">
        <v>16</v>
      </c>
      <c r="C25" s="8" t="s">
        <v>86</v>
      </c>
      <c r="D25" s="9">
        <v>3</v>
      </c>
      <c r="E25" s="22">
        <f>0.0413*D25</f>
        <v>0.12390000000000001</v>
      </c>
      <c r="F25" s="10" t="s">
        <v>10</v>
      </c>
      <c r="G25" s="10" t="s">
        <v>34</v>
      </c>
    </row>
    <row r="26" spans="2:7" x14ac:dyDescent="0.2">
      <c r="B26" s="8">
        <v>17</v>
      </c>
      <c r="C26" s="8" t="s">
        <v>141</v>
      </c>
      <c r="D26" s="9">
        <v>2</v>
      </c>
      <c r="E26" s="22">
        <f>0.0536*D26</f>
        <v>0.1072</v>
      </c>
      <c r="F26" s="10" t="s">
        <v>155</v>
      </c>
      <c r="G26" s="10" t="s">
        <v>156</v>
      </c>
    </row>
    <row r="27" spans="2:7" x14ac:dyDescent="0.2">
      <c r="B27" s="8">
        <v>18</v>
      </c>
      <c r="C27" s="8" t="s">
        <v>138</v>
      </c>
      <c r="D27" s="9">
        <v>1</v>
      </c>
      <c r="E27" s="22">
        <f>0.2226</f>
        <v>0.22259999999999999</v>
      </c>
      <c r="F27" s="10" t="s">
        <v>6</v>
      </c>
      <c r="G27" s="10" t="s">
        <v>30</v>
      </c>
    </row>
    <row r="28" spans="2:7" x14ac:dyDescent="0.2">
      <c r="B28" s="8">
        <v>19</v>
      </c>
      <c r="C28" s="10" t="s">
        <v>57</v>
      </c>
      <c r="D28" s="9">
        <v>2</v>
      </c>
      <c r="E28" s="22">
        <f>0.1627 *2</f>
        <v>0.32540000000000002</v>
      </c>
      <c r="F28" s="10" t="s">
        <v>5</v>
      </c>
      <c r="G28" s="10" t="s">
        <v>29</v>
      </c>
    </row>
    <row r="29" spans="2:7" x14ac:dyDescent="0.2">
      <c r="B29" s="8">
        <v>20</v>
      </c>
      <c r="C29" s="8" t="s">
        <v>114</v>
      </c>
      <c r="D29" s="9">
        <v>1</v>
      </c>
      <c r="E29" s="22">
        <f>0.4</f>
        <v>0.4</v>
      </c>
      <c r="F29" s="10" t="s">
        <v>18</v>
      </c>
      <c r="G29" s="10" t="s">
        <v>23</v>
      </c>
    </row>
    <row r="30" spans="2:7" x14ac:dyDescent="0.2">
      <c r="B30" s="8">
        <v>21</v>
      </c>
      <c r="C30" s="8" t="s">
        <v>21</v>
      </c>
      <c r="D30" s="9">
        <v>1</v>
      </c>
      <c r="E30" s="22">
        <f>0.4069</f>
        <v>0.40689999999999998</v>
      </c>
      <c r="F30" s="10" t="s">
        <v>48</v>
      </c>
      <c r="G30" s="10" t="s">
        <v>47</v>
      </c>
    </row>
    <row r="31" spans="2:7" x14ac:dyDescent="0.2">
      <c r="B31" s="8">
        <v>22</v>
      </c>
      <c r="C31" s="8" t="s">
        <v>49</v>
      </c>
      <c r="D31" s="9">
        <v>1</v>
      </c>
      <c r="E31" s="22">
        <f>0.4509</f>
        <v>0.45090000000000002</v>
      </c>
      <c r="F31" s="10" t="s">
        <v>50</v>
      </c>
      <c r="G31" s="10" t="s">
        <v>36</v>
      </c>
    </row>
    <row r="32" spans="2:7" x14ac:dyDescent="0.2">
      <c r="B32" s="8">
        <v>23</v>
      </c>
      <c r="C32" s="8" t="s">
        <v>14</v>
      </c>
      <c r="D32" s="9">
        <v>1</v>
      </c>
      <c r="E32" s="22">
        <f>0.1862</f>
        <v>0.1862</v>
      </c>
      <c r="F32" s="10" t="s">
        <v>15</v>
      </c>
      <c r="G32" s="10" t="s">
        <v>24</v>
      </c>
    </row>
    <row r="33" spans="2:7" x14ac:dyDescent="0.2">
      <c r="B33" s="8">
        <v>24</v>
      </c>
      <c r="C33" s="19" t="s">
        <v>96</v>
      </c>
      <c r="D33" s="18">
        <v>1</v>
      </c>
      <c r="E33" s="24">
        <f>0.8906</f>
        <v>0.89059999999999995</v>
      </c>
      <c r="F33" s="19" t="s">
        <v>97</v>
      </c>
      <c r="G33" s="19" t="s">
        <v>95</v>
      </c>
    </row>
    <row r="34" spans="2:7" x14ac:dyDescent="0.2">
      <c r="B34" s="8">
        <v>25</v>
      </c>
      <c r="C34" s="8" t="s">
        <v>113</v>
      </c>
      <c r="D34" s="9">
        <v>1</v>
      </c>
      <c r="E34" s="22">
        <f>1.6727</f>
        <v>1.6727000000000001</v>
      </c>
      <c r="F34" s="10" t="s">
        <v>17</v>
      </c>
      <c r="G34" s="10" t="s">
        <v>22</v>
      </c>
    </row>
    <row r="35" spans="2:7" x14ac:dyDescent="0.2">
      <c r="B35" s="8">
        <v>26</v>
      </c>
      <c r="C35" s="8" t="s">
        <v>129</v>
      </c>
      <c r="D35" s="9">
        <v>1</v>
      </c>
      <c r="E35" s="22">
        <f>0.1973</f>
        <v>0.1973</v>
      </c>
      <c r="F35" s="10" t="s">
        <v>130</v>
      </c>
      <c r="G35" s="10" t="s">
        <v>131</v>
      </c>
    </row>
    <row r="36" spans="2:7" x14ac:dyDescent="0.2">
      <c r="B36" s="8">
        <v>27</v>
      </c>
      <c r="C36" s="11" t="s">
        <v>61</v>
      </c>
      <c r="D36" s="12">
        <v>2</v>
      </c>
      <c r="E36" s="25">
        <f>0.33*2</f>
        <v>0.66</v>
      </c>
      <c r="F36" s="13" t="s">
        <v>168</v>
      </c>
      <c r="G36" s="13" t="s">
        <v>167</v>
      </c>
    </row>
    <row r="37" spans="2:7" x14ac:dyDescent="0.2">
      <c r="B37" s="8">
        <v>28</v>
      </c>
      <c r="C37" s="11" t="s">
        <v>100</v>
      </c>
      <c r="D37" s="12">
        <v>4</v>
      </c>
      <c r="E37" s="25">
        <f>9.01/100*4</f>
        <v>0.3604</v>
      </c>
      <c r="F37" s="13" t="s">
        <v>101</v>
      </c>
      <c r="G37" s="13" t="s">
        <v>102</v>
      </c>
    </row>
    <row r="38" spans="2:7" x14ac:dyDescent="0.2">
      <c r="B38" s="8">
        <v>29</v>
      </c>
      <c r="C38" s="11" t="s">
        <v>62</v>
      </c>
      <c r="D38" s="12">
        <v>4</v>
      </c>
      <c r="E38" s="25">
        <f>6.95/50*2</f>
        <v>0.27800000000000002</v>
      </c>
      <c r="F38" s="13" t="s">
        <v>64</v>
      </c>
      <c r="G38" s="13" t="s">
        <v>63</v>
      </c>
    </row>
    <row r="39" spans="2:7" x14ac:dyDescent="0.2">
      <c r="B39" s="8">
        <v>30</v>
      </c>
      <c r="C39" s="14" t="s">
        <v>94</v>
      </c>
      <c r="D39" s="15">
        <v>1</v>
      </c>
      <c r="E39" s="26">
        <v>2</v>
      </c>
      <c r="F39" s="16" t="s">
        <v>46</v>
      </c>
      <c r="G39" s="17" t="s">
        <v>12</v>
      </c>
    </row>
    <row r="40" spans="2:7" x14ac:dyDescent="0.2">
      <c r="B40" s="8">
        <v>31</v>
      </c>
      <c r="C40" s="14" t="s">
        <v>93</v>
      </c>
      <c r="D40" s="15">
        <v>1</v>
      </c>
      <c r="E40" s="26">
        <f>3.75</f>
        <v>3.75</v>
      </c>
      <c r="F40" s="14" t="s">
        <v>13</v>
      </c>
      <c r="G40" s="17" t="s">
        <v>109</v>
      </c>
    </row>
    <row r="41" spans="2:7" x14ac:dyDescent="0.2">
      <c r="B41" s="8">
        <v>32</v>
      </c>
      <c r="C41" s="30" t="s">
        <v>105</v>
      </c>
      <c r="D41" s="31">
        <v>1</v>
      </c>
      <c r="E41" s="32">
        <v>0.25</v>
      </c>
      <c r="F41" s="30" t="s">
        <v>106</v>
      </c>
      <c r="G41" s="33" t="s">
        <v>110</v>
      </c>
    </row>
    <row r="42" spans="2:7" x14ac:dyDescent="0.2">
      <c r="B42" s="8">
        <v>33</v>
      </c>
      <c r="C42" s="34" t="s">
        <v>87</v>
      </c>
      <c r="D42" s="35">
        <v>1</v>
      </c>
      <c r="E42" s="36">
        <f>5.54/50</f>
        <v>0.1108</v>
      </c>
      <c r="F42" s="34" t="s">
        <v>92</v>
      </c>
      <c r="G42" s="37" t="s">
        <v>112</v>
      </c>
    </row>
    <row r="43" spans="2:7" x14ac:dyDescent="0.2">
      <c r="B43" s="8">
        <v>34</v>
      </c>
      <c r="C43" s="34" t="s">
        <v>16</v>
      </c>
      <c r="D43" s="35">
        <v>1</v>
      </c>
      <c r="E43" s="36">
        <v>2.246</v>
      </c>
      <c r="F43" s="38" t="s">
        <v>51</v>
      </c>
      <c r="G43" s="39" t="s">
        <v>90</v>
      </c>
    </row>
    <row r="44" spans="2:7" x14ac:dyDescent="0.2">
      <c r="B44" s="8">
        <v>35</v>
      </c>
      <c r="C44" s="34" t="s">
        <v>67</v>
      </c>
      <c r="D44" s="35">
        <v>1</v>
      </c>
      <c r="E44" s="36">
        <f>8.33/10</f>
        <v>0.83299999999999996</v>
      </c>
      <c r="F44" s="34" t="s">
        <v>98</v>
      </c>
      <c r="G44" s="34" t="s">
        <v>99</v>
      </c>
    </row>
    <row r="45" spans="2:7" x14ac:dyDescent="0.2">
      <c r="B45" s="8">
        <v>36</v>
      </c>
      <c r="C45" s="38" t="s">
        <v>121</v>
      </c>
      <c r="D45" s="35">
        <v>1</v>
      </c>
      <c r="E45" s="36">
        <f>3.86/10</f>
        <v>0.38600000000000001</v>
      </c>
      <c r="F45" s="38" t="s">
        <v>160</v>
      </c>
      <c r="G45" s="38" t="s">
        <v>161</v>
      </c>
    </row>
    <row r="46" spans="2:7" x14ac:dyDescent="0.2">
      <c r="B46" s="8">
        <v>37</v>
      </c>
      <c r="C46" s="38" t="s">
        <v>58</v>
      </c>
      <c r="D46" s="35">
        <v>1</v>
      </c>
      <c r="E46" s="36">
        <v>2.66</v>
      </c>
      <c r="F46" s="38" t="s">
        <v>88</v>
      </c>
      <c r="G46" s="38" t="s">
        <v>169</v>
      </c>
    </row>
    <row r="47" spans="2:7" x14ac:dyDescent="0.2">
      <c r="B47" s="8">
        <v>38</v>
      </c>
      <c r="C47" s="40" t="s">
        <v>56</v>
      </c>
      <c r="D47" s="41">
        <v>1</v>
      </c>
      <c r="E47" s="42">
        <v>48</v>
      </c>
      <c r="F47" s="40" t="s">
        <v>55</v>
      </c>
      <c r="G47" s="43" t="s">
        <v>54</v>
      </c>
    </row>
    <row r="48" spans="2:7" x14ac:dyDescent="0.2">
      <c r="B48" s="8">
        <v>39</v>
      </c>
      <c r="C48" s="48" t="s">
        <v>68</v>
      </c>
      <c r="D48" s="49">
        <v>1</v>
      </c>
      <c r="E48" s="50">
        <v>10</v>
      </c>
      <c r="F48" s="51" t="s">
        <v>69</v>
      </c>
      <c r="G48" s="52" t="s">
        <v>145</v>
      </c>
    </row>
    <row r="49" spans="2:7" x14ac:dyDescent="0.2">
      <c r="B49" s="8">
        <v>40</v>
      </c>
      <c r="C49" s="44" t="s">
        <v>60</v>
      </c>
      <c r="D49" s="45">
        <v>1</v>
      </c>
      <c r="E49" s="46">
        <f>9.5/10</f>
        <v>0.95</v>
      </c>
      <c r="F49" s="47" t="s">
        <v>89</v>
      </c>
      <c r="G49" s="55" t="s">
        <v>59</v>
      </c>
    </row>
    <row r="50" spans="2:7" x14ac:dyDescent="0.2">
      <c r="B50" s="20"/>
      <c r="C50" s="20"/>
      <c r="D50" s="27" t="s">
        <v>111</v>
      </c>
      <c r="E50" s="28">
        <f>SUM(E11:E49)</f>
        <v>78.324399999999997</v>
      </c>
      <c r="F50" s="20"/>
      <c r="G50" s="20"/>
    </row>
    <row r="51" spans="2:7" x14ac:dyDescent="0.2">
      <c r="B51" s="20"/>
      <c r="C51" s="20"/>
      <c r="D51" s="20"/>
      <c r="E51" s="20"/>
      <c r="F51" s="20"/>
      <c r="G51" s="20"/>
    </row>
    <row r="52" spans="2:7" ht="24" x14ac:dyDescent="0.3">
      <c r="B52" s="5" t="s">
        <v>162</v>
      </c>
      <c r="C52" s="6"/>
      <c r="D52" s="6"/>
      <c r="E52" s="6"/>
      <c r="F52" s="6"/>
      <c r="G52" s="6"/>
    </row>
    <row r="53" spans="2:7" x14ac:dyDescent="0.2">
      <c r="B53" s="3" t="s">
        <v>38</v>
      </c>
      <c r="C53" s="3" t="s">
        <v>39</v>
      </c>
      <c r="D53" s="3" t="s">
        <v>44</v>
      </c>
      <c r="E53" s="3" t="s">
        <v>103</v>
      </c>
      <c r="F53" s="4" t="s">
        <v>19</v>
      </c>
      <c r="G53" s="3" t="s">
        <v>0</v>
      </c>
    </row>
    <row r="54" spans="2:7" x14ac:dyDescent="0.2">
      <c r="B54" s="34">
        <v>1</v>
      </c>
      <c r="C54" s="34" t="s">
        <v>65</v>
      </c>
      <c r="D54" s="35">
        <v>4</v>
      </c>
      <c r="E54" s="36">
        <f>2.29/200*4</f>
        <v>4.58E-2</v>
      </c>
      <c r="F54" s="38" t="s">
        <v>66</v>
      </c>
      <c r="G54" s="38" t="s">
        <v>115</v>
      </c>
    </row>
    <row r="55" spans="2:7" x14ac:dyDescent="0.2">
      <c r="B55" s="1">
        <v>2</v>
      </c>
      <c r="C55" s="2" t="s">
        <v>108</v>
      </c>
      <c r="D55" s="1">
        <v>1</v>
      </c>
      <c r="E55" s="29">
        <v>9.2799999999999994</v>
      </c>
      <c r="F55" s="2" t="s">
        <v>70</v>
      </c>
      <c r="G55" s="2" t="s">
        <v>71</v>
      </c>
    </row>
    <row r="56" spans="2:7" x14ac:dyDescent="0.2">
      <c r="B56" s="44">
        <v>3</v>
      </c>
      <c r="C56" s="44" t="s">
        <v>72</v>
      </c>
      <c r="D56" s="45">
        <v>1</v>
      </c>
      <c r="E56" s="46">
        <f>9.05/10</f>
        <v>0.90500000000000003</v>
      </c>
      <c r="F56" s="47" t="s">
        <v>126</v>
      </c>
      <c r="G56" s="47" t="s">
        <v>125</v>
      </c>
    </row>
    <row r="57" spans="2:7" x14ac:dyDescent="0.2">
      <c r="B57" s="34">
        <v>4</v>
      </c>
      <c r="C57" s="34" t="s">
        <v>52</v>
      </c>
      <c r="D57" s="35">
        <v>1</v>
      </c>
      <c r="E57" s="36">
        <f>7.7/50</f>
        <v>0.154</v>
      </c>
      <c r="F57" s="38" t="s">
        <v>53</v>
      </c>
      <c r="G57" s="38" t="s">
        <v>91</v>
      </c>
    </row>
    <row r="58" spans="2:7" x14ac:dyDescent="0.2">
      <c r="B58" s="20"/>
      <c r="C58" s="20"/>
      <c r="D58" s="27" t="s">
        <v>111</v>
      </c>
      <c r="E58" s="28">
        <f>SUM(E54:E57)</f>
        <v>10.384799999999998</v>
      </c>
      <c r="F58" s="20"/>
      <c r="G58" s="20"/>
    </row>
    <row r="59" spans="2:7" x14ac:dyDescent="0.2">
      <c r="B59" s="20"/>
      <c r="C59" s="20"/>
      <c r="D59" s="27"/>
      <c r="E59" s="53"/>
      <c r="F59" s="20"/>
      <c r="G59" s="20"/>
    </row>
    <row r="60" spans="2:7" ht="24" x14ac:dyDescent="0.3">
      <c r="B60" s="5" t="s">
        <v>116</v>
      </c>
      <c r="C60" s="6"/>
      <c r="D60" s="7"/>
      <c r="E60" s="7"/>
      <c r="F60" s="6"/>
      <c r="G60" s="6"/>
    </row>
    <row r="61" spans="2:7" x14ac:dyDescent="0.2">
      <c r="B61" s="3" t="s">
        <v>38</v>
      </c>
      <c r="C61" s="3" t="s">
        <v>39</v>
      </c>
      <c r="D61" s="3" t="s">
        <v>44</v>
      </c>
      <c r="E61" s="3"/>
      <c r="F61" s="4" t="s">
        <v>19</v>
      </c>
      <c r="G61" s="3" t="s">
        <v>0</v>
      </c>
    </row>
    <row r="62" spans="2:7" x14ac:dyDescent="0.2">
      <c r="B62" s="34">
        <v>1</v>
      </c>
      <c r="C62" s="34" t="s">
        <v>107</v>
      </c>
      <c r="D62" s="34">
        <v>1</v>
      </c>
      <c r="E62" s="57">
        <f>8.54/200</f>
        <v>4.2699999999999995E-2</v>
      </c>
      <c r="F62" s="58" t="s">
        <v>73</v>
      </c>
      <c r="G62" s="38" t="s">
        <v>75</v>
      </c>
    </row>
    <row r="63" spans="2:7" x14ac:dyDescent="0.2">
      <c r="B63" s="34">
        <v>2</v>
      </c>
      <c r="C63" s="34" t="s">
        <v>74</v>
      </c>
      <c r="D63" s="34" t="s">
        <v>76</v>
      </c>
      <c r="E63" s="57">
        <f>8.95/10</f>
        <v>0.89499999999999991</v>
      </c>
      <c r="F63" s="58" t="s">
        <v>77</v>
      </c>
      <c r="G63" s="38" t="s">
        <v>135</v>
      </c>
    </row>
    <row r="64" spans="2:7" x14ac:dyDescent="0.2">
      <c r="B64" s="34">
        <v>3</v>
      </c>
      <c r="C64" s="34" t="s">
        <v>78</v>
      </c>
      <c r="D64" s="34" t="s">
        <v>79</v>
      </c>
      <c r="E64" s="57">
        <f>4.47/20</f>
        <v>0.22349999999999998</v>
      </c>
      <c r="F64" s="58" t="s">
        <v>80</v>
      </c>
      <c r="G64" s="38" t="s">
        <v>81</v>
      </c>
    </row>
    <row r="65" spans="2:7" x14ac:dyDescent="0.2">
      <c r="B65" s="34">
        <v>4</v>
      </c>
      <c r="C65" s="34" t="s">
        <v>117</v>
      </c>
      <c r="D65" s="34">
        <v>1</v>
      </c>
      <c r="E65" s="57">
        <v>3</v>
      </c>
      <c r="F65" s="58" t="s">
        <v>118</v>
      </c>
      <c r="G65" s="59" t="s">
        <v>119</v>
      </c>
    </row>
    <row r="66" spans="2:7" x14ac:dyDescent="0.2">
      <c r="B66" s="34">
        <v>5</v>
      </c>
      <c r="C66" s="34" t="s">
        <v>123</v>
      </c>
      <c r="D66" s="34">
        <v>1</v>
      </c>
      <c r="E66" s="57">
        <f>8/2</f>
        <v>4</v>
      </c>
      <c r="F66" s="58" t="s">
        <v>128</v>
      </c>
      <c r="G66" s="59" t="s">
        <v>124</v>
      </c>
    </row>
    <row r="67" spans="2:7" x14ac:dyDescent="0.2">
      <c r="B67" s="34">
        <v>6</v>
      </c>
      <c r="C67" s="34" t="s">
        <v>132</v>
      </c>
      <c r="D67" s="34">
        <v>1</v>
      </c>
      <c r="E67" s="57">
        <f>5.96</f>
        <v>5.96</v>
      </c>
      <c r="F67" s="58" t="s">
        <v>134</v>
      </c>
      <c r="G67" s="59" t="s">
        <v>133</v>
      </c>
    </row>
    <row r="68" spans="2:7" x14ac:dyDescent="0.2">
      <c r="B68" s="20"/>
      <c r="C68" s="20"/>
      <c r="D68" s="60" t="s">
        <v>120</v>
      </c>
      <c r="E68" s="28">
        <f>SUM(E62:E67)</f>
        <v>14.121200000000002</v>
      </c>
      <c r="F68" s="20"/>
      <c r="G68" s="20"/>
    </row>
    <row r="69" spans="2:7" x14ac:dyDescent="0.2">
      <c r="B69" s="20"/>
      <c r="C69" s="20"/>
      <c r="D69" s="20"/>
      <c r="E69" s="20"/>
      <c r="F69" s="20"/>
      <c r="G69" s="20"/>
    </row>
    <row r="70" spans="2:7" x14ac:dyDescent="0.2">
      <c r="B70" s="20"/>
      <c r="C70" s="20"/>
      <c r="D70" s="20"/>
      <c r="E70" s="20"/>
      <c r="F70" s="20"/>
      <c r="G70" s="20"/>
    </row>
    <row r="71" spans="2:7" ht="19" x14ac:dyDescent="0.25">
      <c r="B71" s="20"/>
      <c r="C71" s="20"/>
      <c r="D71" s="61" t="s">
        <v>120</v>
      </c>
      <c r="E71" s="62">
        <f>E68+E58+E50</f>
        <v>102.8304</v>
      </c>
      <c r="F71" s="20"/>
      <c r="G71" s="20"/>
    </row>
    <row r="72" spans="2:7" x14ac:dyDescent="0.2">
      <c r="B72" s="20"/>
      <c r="C72" s="20"/>
      <c r="D72" s="20"/>
      <c r="E72" s="20"/>
      <c r="F72" s="20"/>
      <c r="G72" s="20"/>
    </row>
    <row r="73" spans="2:7" x14ac:dyDescent="0.2">
      <c r="B73" s="20"/>
      <c r="C73" s="20"/>
      <c r="D73" s="20"/>
      <c r="E73" s="20"/>
      <c r="F73" s="20"/>
      <c r="G73" s="20"/>
    </row>
  </sheetData>
  <hyperlinks>
    <hyperlink ref="G42" r:id="rId1"/>
    <hyperlink ref="G65" r:id="rId2"/>
    <hyperlink ref="G49" r:id="rId3"/>
    <hyperlink ref="G67" r:id="rId4" display="https://www.amazon.com/dp/B0742CWDN8/ref=twister_B07429LJXQ?_encoding=UTF8&amp;psc=1"/>
    <hyperlink ref="G6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2017-03-25T17:10:16Z</dcterms:created>
  <dcterms:modified xsi:type="dcterms:W3CDTF">2018-09-12T11:57:18Z</dcterms:modified>
</cp:coreProperties>
</file>