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z284\Downloads\"/>
    </mc:Choice>
  </mc:AlternateContent>
  <xr:revisionPtr revIDLastSave="0" documentId="13_ncr:1_{5B54B029-2D5E-4717-92EE-E2728FB5D7FB}" xr6:coauthVersionLast="47" xr6:coauthVersionMax="47" xr10:uidLastSave="{00000000-0000-0000-0000-000000000000}"/>
  <bookViews>
    <workbookView xWindow="7455" yWindow="1305" windowWidth="21630" windowHeight="11355" activeTab="2" xr2:uid="{5BEB5CD9-19A8-42E6-85D6-663BC9BF3077}"/>
  </bookViews>
  <sheets>
    <sheet name="4.1" sheetId="1" r:id="rId1"/>
    <sheet name="4.2" sheetId="2" r:id="rId2"/>
    <sheet name="4.3" sheetId="4" r:id="rId3"/>
    <sheet name="4.4" sheetId="5" r:id="rId4"/>
    <sheet name="4.5" sheetId="7" r:id="rId5"/>
    <sheet name="4.6" sheetId="6" r:id="rId6"/>
    <sheet name="4.7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4" l="1"/>
  <c r="E16" i="4"/>
  <c r="E15" i="4"/>
  <c r="E13" i="4"/>
  <c r="E12" i="4"/>
  <c r="E11" i="4"/>
  <c r="E10" i="4"/>
  <c r="M5" i="4" l="1"/>
  <c r="M9" i="4" l="1"/>
  <c r="P4" i="5"/>
  <c r="O6" i="7"/>
  <c r="O5" i="7"/>
  <c r="O4" i="7"/>
  <c r="E11" i="7"/>
  <c r="E10" i="7"/>
  <c r="M8" i="7" s="1"/>
  <c r="M9" i="7"/>
  <c r="N9" i="7" s="1"/>
  <c r="M5" i="7"/>
  <c r="N5" i="7" s="1"/>
  <c r="O6" i="5"/>
  <c r="O8" i="5"/>
  <c r="O7" i="5"/>
  <c r="O5" i="5"/>
  <c r="O4" i="5"/>
  <c r="E11" i="5"/>
  <c r="E10" i="5"/>
  <c r="M9" i="5" s="1"/>
  <c r="M6" i="5"/>
  <c r="M5" i="5"/>
  <c r="M4" i="5"/>
  <c r="O5" i="2"/>
  <c r="O6" i="2"/>
  <c r="O7" i="2"/>
  <c r="O8" i="2"/>
  <c r="O9" i="2"/>
  <c r="M6" i="2"/>
  <c r="M7" i="2"/>
  <c r="M8" i="2"/>
  <c r="M9" i="2"/>
  <c r="M5" i="2"/>
  <c r="M4" i="2"/>
  <c r="O4" i="2" s="1"/>
  <c r="E11" i="2"/>
  <c r="E10" i="2"/>
  <c r="O10" i="1"/>
  <c r="O9" i="1"/>
  <c r="L4" i="1"/>
  <c r="L5" i="1"/>
  <c r="L6" i="1"/>
  <c r="L7" i="1"/>
  <c r="L8" i="1"/>
  <c r="L3" i="1"/>
  <c r="O8" i="7" l="1"/>
  <c r="N8" i="7"/>
  <c r="P8" i="7" s="1"/>
  <c r="P5" i="7"/>
  <c r="M7" i="7"/>
  <c r="O9" i="7"/>
  <c r="P9" i="7" s="1"/>
  <c r="M6" i="7"/>
  <c r="M4" i="7"/>
  <c r="O9" i="5"/>
  <c r="N9" i="5"/>
  <c r="P9" i="5" s="1"/>
  <c r="N4" i="5"/>
  <c r="Q4" i="5" s="1"/>
  <c r="N5" i="5"/>
  <c r="P5" i="5" s="1"/>
  <c r="N6" i="5"/>
  <c r="P6" i="5" s="1"/>
  <c r="M7" i="5"/>
  <c r="M8" i="5"/>
  <c r="N5" i="2"/>
  <c r="N8" i="2"/>
  <c r="P8" i="2" s="1"/>
  <c r="O7" i="4"/>
  <c r="O6" i="4"/>
  <c r="O4" i="4"/>
  <c r="O8" i="4"/>
  <c r="O5" i="4"/>
  <c r="O9" i="4"/>
  <c r="N4" i="4"/>
  <c r="N6" i="4"/>
  <c r="N7" i="4"/>
  <c r="P7" i="4" s="1"/>
  <c r="O4" i="1"/>
  <c r="O5" i="1"/>
  <c r="O6" i="1"/>
  <c r="O7" i="1"/>
  <c r="O8" i="1"/>
  <c r="O3" i="1"/>
  <c r="N4" i="1"/>
  <c r="N5" i="1"/>
  <c r="N6" i="1"/>
  <c r="N7" i="1"/>
  <c r="N8" i="1"/>
  <c r="N3" i="1"/>
  <c r="K4" i="1"/>
  <c r="K5" i="1"/>
  <c r="K6" i="1"/>
  <c r="K7" i="1"/>
  <c r="K8" i="1"/>
  <c r="K3" i="1"/>
  <c r="I3" i="1"/>
  <c r="J3" i="1"/>
  <c r="I4" i="1"/>
  <c r="J4" i="1"/>
  <c r="I5" i="1"/>
  <c r="J5" i="1"/>
  <c r="I6" i="1"/>
  <c r="J6" i="1"/>
  <c r="I7" i="1"/>
  <c r="J7" i="1"/>
  <c r="I8" i="1"/>
  <c r="J8" i="1"/>
  <c r="H4" i="1"/>
  <c r="H5" i="1"/>
  <c r="H6" i="1"/>
  <c r="H7" i="1"/>
  <c r="H8" i="1"/>
  <c r="H3" i="1"/>
  <c r="N6" i="7" l="1"/>
  <c r="P6" i="7" s="1"/>
  <c r="N7" i="7"/>
  <c r="O7" i="7"/>
  <c r="N4" i="7"/>
  <c r="P4" i="7" s="1"/>
  <c r="Q5" i="5"/>
  <c r="Q6" i="5" s="1"/>
  <c r="N8" i="5"/>
  <c r="P8" i="5" s="1"/>
  <c r="N7" i="5"/>
  <c r="P6" i="4"/>
  <c r="P4" i="4"/>
  <c r="P5" i="2"/>
  <c r="N7" i="2"/>
  <c r="N9" i="2"/>
  <c r="N6" i="2"/>
  <c r="N4" i="2"/>
  <c r="N8" i="4"/>
  <c r="P8" i="4" s="1"/>
  <c r="N9" i="4"/>
  <c r="P9" i="4" s="1"/>
  <c r="N5" i="4"/>
  <c r="P5" i="4" s="1"/>
  <c r="P7" i="7" l="1"/>
  <c r="Q4" i="7"/>
  <c r="Q5" i="7" s="1"/>
  <c r="Q6" i="7" s="1"/>
  <c r="Q7" i="7" s="1"/>
  <c r="Q8" i="7" s="1"/>
  <c r="Q9" i="7" s="1"/>
  <c r="P10" i="7"/>
  <c r="P7" i="5"/>
  <c r="P10" i="5" s="1"/>
  <c r="P10" i="4"/>
  <c r="P4" i="2"/>
  <c r="P9" i="2"/>
  <c r="P6" i="2"/>
  <c r="P7" i="2"/>
  <c r="Q7" i="5" l="1"/>
  <c r="Q8" i="5" s="1"/>
  <c r="Q9" i="5" s="1"/>
  <c r="P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tc={A3AE1966-E9C3-4B1B-9580-20AA8C7545C9}</author>
  </authors>
  <commentList>
    <comment ref="O9" authorId="0" shapeId="0" xr:uid="{A3AE1966-E9C3-4B1B-9580-20AA8C7545C9}">
      <text>
        <t>[Threaded comment]
Your version of Excel allows you to read this threaded comment; however, any edits to it will get removed if the file is opened in a newer version of Excel. Learn more: https://go.microsoft.com/fwlink/?linkid=870924
Comment:
    Negative sign shows loss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tc={260F67A9-0CBE-48F0-B88A-A50DAC7BBB01}</author>
    <author>tc={2DDEBDD5-A0B6-41A0-BABF-FCA349B596C9}</author>
  </authors>
  <commentList>
    <comment ref="F10" authorId="0" shapeId="0" xr:uid="{260F67A9-0CBE-48F0-B88A-A50DAC7BBB01}">
      <text>
        <t>[Threaded comment]
Your version of Excel allows you to read this threaded comment; however, any edits to it will get removed if the file is opened in a newer version of Excel. Learn more: https://go.microsoft.com/fwlink/?linkid=870924
Comment:
    We try to get the operating costs of these four points from the quadratic function</t>
      </text>
    </comment>
    <comment ref="F15" authorId="1" shapeId="0" xr:uid="{2DDEBDD5-A0B6-41A0-BABF-FCA349B596C9}">
      <text>
        <t>[Threaded comment]
Your version of Excel allows you to read this threaded comment; however, any edits to it will get removed if the file is opened in a newer version of Excel. Learn more: https://go.microsoft.com/fwlink/?linkid=870924
Comment:
    Then, for each segment, we calculate the slope for each piecewise function, the slope will be the marginal costs</t>
      </text>
    </comment>
  </commentList>
</comments>
</file>

<file path=xl/sharedStrings.xml><?xml version="1.0" encoding="utf-8"?>
<sst xmlns="http://schemas.openxmlformats.org/spreadsheetml/2006/main" count="114" uniqueCount="51">
  <si>
    <t>Period</t>
  </si>
  <si>
    <t>Load Forecast (MWh)</t>
  </si>
  <si>
    <t>Average cost ($/MWh)</t>
  </si>
  <si>
    <t>Actual Load (MWh)</t>
  </si>
  <si>
    <t>Spot Price ($/MWh)</t>
  </si>
  <si>
    <t>Expense ($)</t>
  </si>
  <si>
    <t>Buy/Sell from Spot Market?</t>
  </si>
  <si>
    <t>Customer's Price ($/MWh)</t>
  </si>
  <si>
    <t>Revenue ($)</t>
  </si>
  <si>
    <t>How much MWh?</t>
  </si>
  <si>
    <t>Spot Mrkt dealings ($)</t>
  </si>
  <si>
    <t>Total Expense ($)</t>
  </si>
  <si>
    <t>Profit/Loss ($)</t>
  </si>
  <si>
    <t>Loss</t>
  </si>
  <si>
    <t>Break-even ($/MWh)</t>
  </si>
  <si>
    <t>H(P) = 120 + 9.3P + 0.0025P^2 MJ/h</t>
  </si>
  <si>
    <t>Cost of gas = 1.2$/MJ</t>
  </si>
  <si>
    <t>Price ($/MWh)</t>
  </si>
  <si>
    <t>Hourly Operating Cost = H(P)*Cost of gas</t>
  </si>
  <si>
    <t>Hourly Operating Cost = (120 + 9.3P + 0.0025P^2 MJ/h)*1.2 = 144 + 11.16P + 0.003P^2</t>
  </si>
  <si>
    <t>Output the unit produces = 11.16 + 0.006P</t>
  </si>
  <si>
    <t>Minimum price you can sell =</t>
  </si>
  <si>
    <t>Maximum price you can sell =</t>
  </si>
  <si>
    <t>$/MWh</t>
  </si>
  <si>
    <t xml:space="preserve">Min power (MW) = </t>
  </si>
  <si>
    <t xml:space="preserve">Max power (MW) = </t>
  </si>
  <si>
    <t>Generation (MWh)</t>
  </si>
  <si>
    <t>Running Cost ($)</t>
  </si>
  <si>
    <t>Profit ($)</t>
  </si>
  <si>
    <t>Total</t>
  </si>
  <si>
    <t xml:space="preserve">Intermediary Power 1 (MW) = </t>
  </si>
  <si>
    <t xml:space="preserve">Intermediary Power 2 (MW) = </t>
  </si>
  <si>
    <t>Cumulative Profit</t>
  </si>
  <si>
    <t>Start</t>
  </si>
  <si>
    <t>End</t>
  </si>
  <si>
    <t>-</t>
  </si>
  <si>
    <t xml:space="preserve">minimum uptime = </t>
  </si>
  <si>
    <t>Operational Profits ($)</t>
  </si>
  <si>
    <t>Solution</t>
  </si>
  <si>
    <t>Minimum operating Cost (200 MW) =</t>
  </si>
  <si>
    <t>Maximum operating Cost (500 MW) =</t>
  </si>
  <si>
    <t>Intermediary operating Cost (300 MW) =</t>
  </si>
  <si>
    <t>Intermediary operating Cost (400 MW) =</t>
  </si>
  <si>
    <t>$/h</t>
  </si>
  <si>
    <t>Marginal Cost (200-300MW)=</t>
  </si>
  <si>
    <t>Marginal Cost (300-400MW)=</t>
  </si>
  <si>
    <t>Marginal Cost (400-500MW)=</t>
  </si>
  <si>
    <t>if Price &lt; 12.66 $/MWh, Generation = 200 MWh</t>
  </si>
  <si>
    <t>if 12.66≤ Price &lt; 13.26 $/MWh, Generation = 300 MWh</t>
  </si>
  <si>
    <t>if 13.26≤ Price &lt; 13.86 $/MWh, Generation = 400 MWh</t>
  </si>
  <si>
    <t>if Price ≥ 13.86 $/MWh, Generation = 500 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</si>
</sst>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2" borderId="4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3" xfId="0" applyFill="1" applyBorder="1"/>
    <xf numFmtId="0" fontId="0" fillId="2" borderId="0" xfId="0" applyFill="1"/>
    <xf numFmtId="0" fontId="0" fillId="0" borderId="8" xfId="0" applyBorder="1"/>
    <xf numFmtId="0" fontId="0" fillId="0" borderId="9" xfId="0" applyBorder="1"/>
    <xf numFmtId="0" fontId="0" fillId="2" borderId="10" xfId="0" applyFill="1" applyBorder="1" applyAlignment="1">
      <alignment wrapText="1"/>
    </xf>
    <xf numFmtId="0" fontId="0" fillId="2" borderId="11" xfId="0" applyFill="1" applyBorder="1" applyAlignment="1">
      <alignment wrapText="1"/>
    </xf>
    <xf numFmtId="0" fontId="0" fillId="2" borderId="12" xfId="0" applyFill="1" applyBorder="1"/>
    <xf numFmtId="0" fontId="0" fillId="2" borderId="11" xfId="0" applyFill="1" applyBorder="1"/>
    <xf numFmtId="165" fontId="0" fillId="0" borderId="0" xfId="0" applyNumberFormat="1"/>
    <xf numFmtId="0" fontId="0" fillId="2" borderId="6" xfId="0" applyFill="1" applyBorder="1"/>
    <xf numFmtId="0" fontId="1" fillId="3" borderId="1" xfId="0" applyFont="1" applyFill="1" applyBorder="1"/>
    <xf numFmtId="0" fontId="0" fillId="0" borderId="10" xfId="0" applyBorder="1"/>
    <xf numFmtId="0" fontId="0" fillId="0" borderId="12" xfId="0" applyBorder="1"/>
    <xf numFmtId="0" fontId="0" fillId="0" borderId="0" xfId="0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1" fillId="4" borderId="14" xfId="0" applyFont="1" applyFill="1" applyBorder="1"/>
    <xf numFmtId="0" fontId="1" fillId="4" borderId="15" xfId="0" applyFont="1" applyFill="1" applyBorder="1" applyAlignment="1">
      <alignment wrapText="1"/>
    </xf>
    <xf numFmtId="0" fontId="1" fillId="4" borderId="16" xfId="0" applyFont="1" applyFill="1" applyBorder="1" applyAlignment="1">
      <alignment wrapText="1"/>
    </xf>
    <xf numFmtId="0" fontId="1" fillId="5" borderId="14" xfId="0" applyFont="1" applyFill="1" applyBorder="1"/>
    <xf numFmtId="0" fontId="1" fillId="6" borderId="19" xfId="0" applyFont="1" applyFill="1" applyBorder="1" applyAlignment="1">
      <alignment wrapText="1"/>
    </xf>
    <xf numFmtId="164" fontId="0" fillId="0" borderId="13" xfId="0" applyNumberFormat="1" applyBorder="1"/>
    <xf numFmtId="164" fontId="0" fillId="0" borderId="18" xfId="0" applyNumberFormat="1" applyBorder="1"/>
    <xf numFmtId="164" fontId="0" fillId="0" borderId="21" xfId="0" applyNumberFormat="1" applyBorder="1"/>
    <xf numFmtId="0" fontId="1" fillId="4" borderId="15" xfId="0" applyFont="1" applyFill="1" applyBorder="1"/>
    <xf numFmtId="0" fontId="1" fillId="4" borderId="16" xfId="0" applyFont="1" applyFill="1" applyBorder="1"/>
    <xf numFmtId="164" fontId="0" fillId="0" borderId="23" xfId="0" applyNumberFormat="1" applyBorder="1"/>
    <xf numFmtId="0" fontId="1" fillId="6" borderId="24" xfId="0" applyFont="1" applyFill="1" applyBorder="1"/>
    <xf numFmtId="1" fontId="0" fillId="0" borderId="13" xfId="0" applyNumberFormat="1" applyBorder="1"/>
    <xf numFmtId="165" fontId="0" fillId="0" borderId="18" xfId="0" applyNumberFormat="1" applyBorder="1"/>
    <xf numFmtId="165" fontId="0" fillId="0" borderId="23" xfId="0" applyNumberFormat="1" applyBorder="1"/>
    <xf numFmtId="164" fontId="0" fillId="0" borderId="22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 applyAlignment="1">
      <alignment horizontal="center"/>
    </xf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 applyAlignment="1">
      <alignment wrapText="1"/>
    </xf>
    <xf numFmtId="0" fontId="1" fillId="5" borderId="16" xfId="0" applyFont="1" applyFill="1" applyBorder="1"/>
    <xf numFmtId="2" fontId="1" fillId="6" borderId="21" xfId="0" applyNumberFormat="1" applyFont="1" applyFill="1" applyBorder="1"/>
    <xf numFmtId="2" fontId="1" fillId="6" borderId="25" xfId="0" applyNumberFormat="1" applyFont="1" applyFill="1" applyBorder="1"/>
    <xf numFmtId="165" fontId="1" fillId="6" borderId="25" xfId="0" applyNumberFormat="1" applyFont="1" applyFill="1" applyBorder="1"/>
    <xf numFmtId="164" fontId="1" fillId="6" borderId="25" xfId="0" applyNumberFormat="1" applyFont="1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2" borderId="5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365760</xdr:colOff>
      <xdr:row>1</xdr:row>
      <xdr:rowOff>22861</xdr:rowOff>
    </xdr:from>
    <xdr:to>
      <xdr:col>10</xdr:col>
      <xdr:colOff>53340</xdr:colOff>
      <xdr:row>5</xdr:row>
      <xdr:rowOff>82845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D407AA-313B-063A-680A-0568C0FCD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5760" y="205741"/>
          <a:ext cx="2240280" cy="791504"/>
        </a:xfrm>
        <a:prstGeom prst="rect">
          <a:avLst/>
        </a:prstGeom>
      </xdr:spPr>
    </xdr:pic>
    <xdr:clientData/>
  </xdr:twoCellAnchor>
  <xdr:twoCellAnchor editAs="oneCell">
    <xdr:from>
      <xdr:col>4</xdr:col>
      <xdr:colOff>15241</xdr:colOff>
      <xdr:row>5</xdr:row>
      <xdr:rowOff>160020</xdr:rowOff>
    </xdr:from>
    <xdr:to>
      <xdr:col>15</xdr:col>
      <xdr:colOff>419101</xdr:colOff>
      <xdr:row>22</xdr:row>
      <xdr:rowOff>102072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B336C9-D374-BA69-7436-D891044083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53641" y="1074420"/>
          <a:ext cx="7376160" cy="30662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</xdr:colOff>
      <xdr:row>5</xdr:row>
      <xdr:rowOff>121920</xdr:rowOff>
    </xdr:from>
    <xdr:to>
      <xdr:col>19</xdr:col>
      <xdr:colOff>425601</xdr:colOff>
      <xdr:row>17</xdr:row>
      <xdr:rowOff>16882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0C233E-B991-3C7F-9620-94E3DCB0E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55620" y="1036320"/>
          <a:ext cx="8952381" cy="2104762"/>
        </a:xfrm>
        <a:prstGeom prst="rect">
          <a:avLst/>
        </a:prstGeom>
      </xdr:spPr>
    </xdr:pic>
    <xdr:clientData/>
  </xdr:twoCellAnchor>
  <xdr:twoCellAnchor editAs="oneCell">
    <xdr:from>
      <xdr:col>9</xdr:col>
      <xdr:colOff>53340</xdr:colOff>
      <xdr:row>1</xdr:row>
      <xdr:rowOff>22860</xdr:rowOff>
    </xdr:from>
    <xdr:to>
      <xdr:col>12</xdr:col>
      <xdr:colOff>464820</xdr:colOff>
      <xdr:row>5</xdr:row>
      <xdr:rowOff>82844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9380DA-FD3A-465A-9B44-CA4F902F9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39740" y="205740"/>
          <a:ext cx="2240280" cy="79150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Zhang Xiaodong" id="{9B311B8E-863C-4B49-8742-EB9A990BC438}" userId="5b890a1522a48aec" providerId="Windows Live"/>
  <person displayName="Abbhijith Hari Gopal" id="{10271AEF-60FF-445B-809F-859C997F76B9}" userId="S::ah580@duke.edu::be3e6c2b-f2c4-47b6-8463-eeeff7d677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9" dT="2023-02-06T21:35:43.30" personId="{10271AEF-60FF-445B-809F-859C997F76B9}" id="{A3AE1966-E9C3-4B1B-9580-20AA8C7545C9}">
    <text>Negative sign shows loss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0" dT="2023-02-10T21:09:38.41" personId="{9B311B8E-863C-4B49-8742-EB9A990BC438}" id="{260F67A9-0CBE-48F0-B88A-A50DAC7BBB01}">
    <text>We try to get the operating costs of these four points from the quadratic function</text>
  </threadedComment>
  <threadedComment ref="F15" dT="2023-02-10T21:11:41.62" personId="{9B311B8E-863C-4B49-8742-EB9A990BC438}" id="{2DDEBDD5-A0B6-41A0-BABF-FCA349B596C9}">
    <text>Then, for each segment, we calculate the slope for each piecewise function, the slope will be the marginal costs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49D2B-8F4B-4762-9DEF-A3094477824B}">
  <dimension ref="C1:O10"/>
  <sheetViews>
    <sheetView workbookViewId="0">
      <selection activeCell="F12" sqref="F12"/>
    </sheetView>
  </sheetViews>
  <sheetFormatPr defaultRowHeight="14.5" x14ac:dyDescent="0.35"/>
  <cols>
    <col min="9" max="9" width="8.90625" customWidth="1"/>
    <col min="13" max="13" width="10.08984375" customWidth="1"/>
    <col min="15" max="15" width="9.6328125" customWidth="1"/>
  </cols>
  <sheetData>
    <row r="1" spans="3:15" ht="15" thickBot="1" x14ac:dyDescent="0.4"/>
    <row r="2" spans="3:15" ht="58" x14ac:dyDescent="0.35">
      <c r="C2" s="26" t="s">
        <v>0</v>
      </c>
      <c r="D2" s="27" t="s">
        <v>1</v>
      </c>
      <c r="E2" s="27" t="s">
        <v>2</v>
      </c>
      <c r="F2" s="27" t="s">
        <v>3</v>
      </c>
      <c r="G2" s="27" t="s">
        <v>4</v>
      </c>
      <c r="H2" s="27" t="s">
        <v>5</v>
      </c>
      <c r="I2" s="27" t="s">
        <v>6</v>
      </c>
      <c r="J2" s="27" t="s">
        <v>9</v>
      </c>
      <c r="K2" s="27" t="s">
        <v>10</v>
      </c>
      <c r="L2" s="27" t="s">
        <v>11</v>
      </c>
      <c r="M2" s="27" t="s">
        <v>7</v>
      </c>
      <c r="N2" s="27" t="s">
        <v>8</v>
      </c>
      <c r="O2" s="28" t="s">
        <v>12</v>
      </c>
    </row>
    <row r="3" spans="3:15" x14ac:dyDescent="0.35">
      <c r="C3" s="20">
        <v>1</v>
      </c>
      <c r="D3" s="19">
        <v>120</v>
      </c>
      <c r="E3" s="19">
        <v>22.5</v>
      </c>
      <c r="F3" s="19">
        <v>110</v>
      </c>
      <c r="G3" s="19">
        <v>21.6</v>
      </c>
      <c r="H3" s="19">
        <f>D3*E3</f>
        <v>2700</v>
      </c>
      <c r="I3" s="19" t="str">
        <f>IF(D3&gt;F3, "Sell", "Buy")</f>
        <v>Sell</v>
      </c>
      <c r="J3" s="19">
        <f>ABS(D3-F3)</f>
        <v>10</v>
      </c>
      <c r="K3" s="19">
        <f>IF(I3="Sell", G3*J3, G3*J3*-1)</f>
        <v>216</v>
      </c>
      <c r="L3" s="19">
        <f>H3-K3</f>
        <v>2484</v>
      </c>
      <c r="M3" s="19">
        <v>24</v>
      </c>
      <c r="N3" s="19">
        <f>F3*M3</f>
        <v>2640</v>
      </c>
      <c r="O3" s="21">
        <f>N3-L3</f>
        <v>156</v>
      </c>
    </row>
    <row r="4" spans="3:15" x14ac:dyDescent="0.35">
      <c r="C4" s="20">
        <v>2</v>
      </c>
      <c r="D4" s="19">
        <v>230</v>
      </c>
      <c r="E4" s="19">
        <v>24.5</v>
      </c>
      <c r="F4" s="19">
        <v>225</v>
      </c>
      <c r="G4" s="19">
        <v>25.1</v>
      </c>
      <c r="H4" s="19">
        <f t="shared" ref="H4:H8" si="0">D4*E4</f>
        <v>5635</v>
      </c>
      <c r="I4" s="19" t="str">
        <f t="shared" ref="I4:I8" si="1">IF(D4&gt;F4, "Sell", "Buy")</f>
        <v>Sell</v>
      </c>
      <c r="J4" s="19">
        <f t="shared" ref="J4:J8" si="2">ABS(D4-F4)</f>
        <v>5</v>
      </c>
      <c r="K4" s="19">
        <f t="shared" ref="K4:K8" si="3">IF(I4="Sell", G4*J4, G4*J4*-1)</f>
        <v>125.5</v>
      </c>
      <c r="L4" s="19">
        <f t="shared" ref="L4:L8" si="4">H4-K4</f>
        <v>5509.5</v>
      </c>
      <c r="M4" s="19">
        <v>24</v>
      </c>
      <c r="N4" s="19">
        <f t="shared" ref="N4:N8" si="5">F4*M4</f>
        <v>5400</v>
      </c>
      <c r="O4" s="21">
        <f t="shared" ref="O4:O8" si="6">N4-L4</f>
        <v>-109.5</v>
      </c>
    </row>
    <row r="5" spans="3:15" x14ac:dyDescent="0.35">
      <c r="C5" s="20">
        <v>3</v>
      </c>
      <c r="D5" s="19">
        <v>310</v>
      </c>
      <c r="E5" s="19">
        <v>29.3</v>
      </c>
      <c r="F5" s="19">
        <v>330</v>
      </c>
      <c r="G5" s="19">
        <v>32</v>
      </c>
      <c r="H5" s="19">
        <f t="shared" si="0"/>
        <v>9083</v>
      </c>
      <c r="I5" s="19" t="str">
        <f t="shared" si="1"/>
        <v>Buy</v>
      </c>
      <c r="J5" s="19">
        <f t="shared" si="2"/>
        <v>20</v>
      </c>
      <c r="K5" s="19">
        <f t="shared" si="3"/>
        <v>-640</v>
      </c>
      <c r="L5" s="19">
        <f t="shared" si="4"/>
        <v>9723</v>
      </c>
      <c r="M5" s="19">
        <v>24</v>
      </c>
      <c r="N5" s="19">
        <f t="shared" si="5"/>
        <v>7920</v>
      </c>
      <c r="O5" s="21">
        <f t="shared" si="6"/>
        <v>-1803</v>
      </c>
    </row>
    <row r="6" spans="3:15" x14ac:dyDescent="0.35">
      <c r="C6" s="20">
        <v>4</v>
      </c>
      <c r="D6" s="19">
        <v>240</v>
      </c>
      <c r="E6" s="19">
        <v>25.2</v>
      </c>
      <c r="F6" s="19">
        <v>250</v>
      </c>
      <c r="G6" s="19">
        <v>25.9</v>
      </c>
      <c r="H6" s="19">
        <f t="shared" si="0"/>
        <v>6048</v>
      </c>
      <c r="I6" s="19" t="str">
        <f t="shared" si="1"/>
        <v>Buy</v>
      </c>
      <c r="J6" s="19">
        <f t="shared" si="2"/>
        <v>10</v>
      </c>
      <c r="K6" s="19">
        <f t="shared" si="3"/>
        <v>-259</v>
      </c>
      <c r="L6" s="19">
        <f t="shared" si="4"/>
        <v>6307</v>
      </c>
      <c r="M6" s="19">
        <v>24</v>
      </c>
      <c r="N6" s="19">
        <f t="shared" si="5"/>
        <v>6000</v>
      </c>
      <c r="O6" s="21">
        <f t="shared" si="6"/>
        <v>-307</v>
      </c>
    </row>
    <row r="7" spans="3:15" x14ac:dyDescent="0.35">
      <c r="C7" s="20">
        <v>5</v>
      </c>
      <c r="D7" s="19">
        <v>135</v>
      </c>
      <c r="E7" s="19">
        <v>23.1</v>
      </c>
      <c r="F7" s="19">
        <v>125</v>
      </c>
      <c r="G7" s="19">
        <v>22.5</v>
      </c>
      <c r="H7" s="19">
        <f t="shared" si="0"/>
        <v>3118.5</v>
      </c>
      <c r="I7" s="19" t="str">
        <f t="shared" si="1"/>
        <v>Sell</v>
      </c>
      <c r="J7" s="19">
        <f t="shared" si="2"/>
        <v>10</v>
      </c>
      <c r="K7" s="19">
        <f t="shared" si="3"/>
        <v>225</v>
      </c>
      <c r="L7" s="19">
        <f t="shared" si="4"/>
        <v>2893.5</v>
      </c>
      <c r="M7" s="19">
        <v>24</v>
      </c>
      <c r="N7" s="19">
        <f t="shared" si="5"/>
        <v>3000</v>
      </c>
      <c r="O7" s="21">
        <f t="shared" si="6"/>
        <v>106.5</v>
      </c>
    </row>
    <row r="8" spans="3:15" ht="15" thickBot="1" x14ac:dyDescent="0.4">
      <c r="C8" s="22">
        <v>6</v>
      </c>
      <c r="D8" s="23">
        <v>110</v>
      </c>
      <c r="E8" s="23">
        <v>21.9</v>
      </c>
      <c r="F8" s="23">
        <v>105</v>
      </c>
      <c r="G8" s="23">
        <v>21.5</v>
      </c>
      <c r="H8" s="23">
        <f t="shared" si="0"/>
        <v>2409</v>
      </c>
      <c r="I8" s="23" t="str">
        <f t="shared" si="1"/>
        <v>Sell</v>
      </c>
      <c r="J8" s="23">
        <f t="shared" si="2"/>
        <v>5</v>
      </c>
      <c r="K8" s="23">
        <f t="shared" si="3"/>
        <v>107.5</v>
      </c>
      <c r="L8" s="23">
        <f t="shared" si="4"/>
        <v>2301.5</v>
      </c>
      <c r="M8" s="23">
        <v>24</v>
      </c>
      <c r="N8" s="24">
        <f t="shared" si="5"/>
        <v>2520</v>
      </c>
      <c r="O8" s="25">
        <f t="shared" si="6"/>
        <v>218.5</v>
      </c>
    </row>
    <row r="9" spans="3:15" x14ac:dyDescent="0.35">
      <c r="N9" s="29" t="s">
        <v>13</v>
      </c>
      <c r="O9" s="49">
        <f>SUM(O3:O8)</f>
        <v>-1738.5</v>
      </c>
    </row>
    <row r="10" spans="3:15" ht="44" thickBot="1" x14ac:dyDescent="0.4">
      <c r="N10" s="30" t="s">
        <v>14</v>
      </c>
      <c r="O10" s="50">
        <f>SUM(L3:L8)/SUM(F3:F8)</f>
        <v>25.518340611353711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7E1B2-6D80-42BB-A322-8F3ED0F65AEE}">
  <dimension ref="B1:P11"/>
  <sheetViews>
    <sheetView workbookViewId="0">
      <selection activeCell="P10" sqref="P10"/>
    </sheetView>
  </sheetViews>
  <sheetFormatPr defaultRowHeight="14.5" x14ac:dyDescent="0.35"/>
  <cols>
    <col min="2" max="2" width="10" customWidth="1"/>
    <col min="4" max="4" width="10.08984375" customWidth="1"/>
    <col min="10" max="10" width="12.81640625" bestFit="1" customWidth="1"/>
    <col min="12" max="12" width="12.81640625" bestFit="1" customWidth="1"/>
    <col min="13" max="13" width="10.81640625" customWidth="1"/>
    <col min="14" max="14" width="12" bestFit="1" customWidth="1"/>
  </cols>
  <sheetData>
    <row r="1" spans="2:16" ht="15" thickBot="1" x14ac:dyDescent="0.4"/>
    <row r="2" spans="2:16" ht="15" thickBot="1" x14ac:dyDescent="0.4">
      <c r="B2" s="58" t="s">
        <v>15</v>
      </c>
      <c r="C2" s="59"/>
      <c r="D2" s="59"/>
      <c r="E2" s="59"/>
      <c r="F2" s="1"/>
    </row>
    <row r="3" spans="2:16" ht="32.4" customHeight="1" thickBot="1" x14ac:dyDescent="0.4">
      <c r="B3" s="8" t="s">
        <v>24</v>
      </c>
      <c r="C3" s="9">
        <v>200</v>
      </c>
      <c r="D3" s="8" t="s">
        <v>25</v>
      </c>
      <c r="E3" s="10">
        <v>500</v>
      </c>
      <c r="F3" s="11"/>
      <c r="K3" s="26" t="s">
        <v>0</v>
      </c>
      <c r="L3" s="34" t="s">
        <v>17</v>
      </c>
      <c r="M3" s="27" t="s">
        <v>26</v>
      </c>
      <c r="N3" s="34" t="s">
        <v>8</v>
      </c>
      <c r="O3" s="27" t="s">
        <v>27</v>
      </c>
      <c r="P3" s="35" t="s">
        <v>28</v>
      </c>
    </row>
    <row r="4" spans="2:16" ht="15" thickBot="1" x14ac:dyDescent="0.4">
      <c r="B4" s="54" t="s">
        <v>16</v>
      </c>
      <c r="C4" s="55"/>
      <c r="D4" s="55"/>
      <c r="E4" s="2"/>
      <c r="F4" s="3"/>
      <c r="K4" s="20">
        <v>1</v>
      </c>
      <c r="L4" s="19">
        <v>12.5</v>
      </c>
      <c r="M4" s="19">
        <f>IF(L4&lt;$E$10, $C$3, IF(L4&gt;$E$11, $E$3, (L4-11.16)/0.006))</f>
        <v>223.33333333333331</v>
      </c>
      <c r="N4" s="31">
        <f>L4*M4</f>
        <v>2791.6666666666665</v>
      </c>
      <c r="O4" s="19">
        <f>(120+9.3*M4+0.0025*M4^2)*1.2</f>
        <v>2786.0333333333333</v>
      </c>
      <c r="P4" s="32">
        <f>N4-O4</f>
        <v>5.6333333333332121</v>
      </c>
    </row>
    <row r="5" spans="2:16" ht="15" thickBot="1" x14ac:dyDescent="0.4">
      <c r="K5" s="20">
        <v>2</v>
      </c>
      <c r="L5" s="19">
        <v>10</v>
      </c>
      <c r="M5" s="19">
        <f>IF(L5&lt;$E$10, $C$3, IF(L5&gt;$E$11, $E$3, (L5-11.16)/0.006))</f>
        <v>200</v>
      </c>
      <c r="N5" s="19">
        <f t="shared" ref="N5:N9" si="0">L5*M5</f>
        <v>2000</v>
      </c>
      <c r="O5" s="19">
        <f t="shared" ref="O5:O9" si="1">(120+9.3*M5+0.0025*M5^2)*1.2</f>
        <v>2496</v>
      </c>
      <c r="P5" s="32">
        <f t="shared" ref="P5:P9" si="2">N5-O5</f>
        <v>-496</v>
      </c>
    </row>
    <row r="6" spans="2:16" x14ac:dyDescent="0.35">
      <c r="B6" s="56" t="s">
        <v>18</v>
      </c>
      <c r="C6" s="57"/>
      <c r="D6" s="57"/>
      <c r="E6" s="57"/>
      <c r="F6" s="57"/>
      <c r="G6" s="4"/>
      <c r="H6" s="4"/>
      <c r="I6" s="1"/>
      <c r="K6" s="20">
        <v>3</v>
      </c>
      <c r="L6" s="19">
        <v>13</v>
      </c>
      <c r="M6" s="19">
        <f t="shared" ref="M6:M9" si="3">IF(L6&lt;$E$10, $C$3, IF(L6&gt;$E$11, $E$3, (L6-11.16)/0.006))</f>
        <v>306.66666666666663</v>
      </c>
      <c r="N6" s="31">
        <f t="shared" si="0"/>
        <v>3986.6666666666661</v>
      </c>
      <c r="O6" s="19">
        <f t="shared" si="1"/>
        <v>3848.5333333333328</v>
      </c>
      <c r="P6" s="32">
        <f t="shared" si="2"/>
        <v>138.13333333333321</v>
      </c>
    </row>
    <row r="7" spans="2:16" x14ac:dyDescent="0.35">
      <c r="B7" s="60" t="s">
        <v>19</v>
      </c>
      <c r="C7" s="61"/>
      <c r="D7" s="61"/>
      <c r="E7" s="61"/>
      <c r="F7" s="61"/>
      <c r="G7" s="61"/>
      <c r="H7" s="61"/>
      <c r="I7" s="62"/>
      <c r="K7" s="20">
        <v>4</v>
      </c>
      <c r="L7" s="19">
        <v>13.5</v>
      </c>
      <c r="M7" s="19">
        <f t="shared" si="3"/>
        <v>389.99999999999994</v>
      </c>
      <c r="N7" s="19">
        <f t="shared" si="0"/>
        <v>5264.9999999999991</v>
      </c>
      <c r="O7" s="19">
        <f t="shared" si="1"/>
        <v>4952.6999999999989</v>
      </c>
      <c r="P7" s="32">
        <f t="shared" si="2"/>
        <v>312.30000000000018</v>
      </c>
    </row>
    <row r="8" spans="2:16" ht="15" thickBot="1" x14ac:dyDescent="0.4">
      <c r="B8" s="54" t="s">
        <v>20</v>
      </c>
      <c r="C8" s="55"/>
      <c r="D8" s="55"/>
      <c r="E8" s="55"/>
      <c r="F8" s="55"/>
      <c r="G8" s="6"/>
      <c r="H8" s="6"/>
      <c r="I8" s="7"/>
      <c r="K8" s="20">
        <v>5</v>
      </c>
      <c r="L8" s="19">
        <v>15</v>
      </c>
      <c r="M8" s="19">
        <f t="shared" si="3"/>
        <v>500</v>
      </c>
      <c r="N8" s="19">
        <f t="shared" si="0"/>
        <v>7500</v>
      </c>
      <c r="O8" s="19">
        <f t="shared" si="1"/>
        <v>6474</v>
      </c>
      <c r="P8" s="32">
        <f t="shared" si="2"/>
        <v>1026</v>
      </c>
    </row>
    <row r="9" spans="2:16" ht="15" thickBot="1" x14ac:dyDescent="0.4">
      <c r="K9" s="22">
        <v>6</v>
      </c>
      <c r="L9" s="23">
        <v>11</v>
      </c>
      <c r="M9" s="23">
        <f t="shared" si="3"/>
        <v>200</v>
      </c>
      <c r="N9" s="23">
        <f t="shared" si="0"/>
        <v>2200</v>
      </c>
      <c r="O9" s="24">
        <f t="shared" si="1"/>
        <v>2496</v>
      </c>
      <c r="P9" s="36">
        <f t="shared" si="2"/>
        <v>-296</v>
      </c>
    </row>
    <row r="10" spans="2:16" ht="15" thickBot="1" x14ac:dyDescent="0.4">
      <c r="B10" s="56" t="s">
        <v>21</v>
      </c>
      <c r="C10" s="57"/>
      <c r="D10" s="57"/>
      <c r="E10" s="4">
        <f>11.16 + 0.006*C3</f>
        <v>12.36</v>
      </c>
      <c r="F10" s="1" t="s">
        <v>23</v>
      </c>
      <c r="O10" s="37" t="s">
        <v>29</v>
      </c>
      <c r="P10" s="51">
        <f>SUM(P4:P9)</f>
        <v>690.06666666666661</v>
      </c>
    </row>
    <row r="11" spans="2:16" ht="15" thickBot="1" x14ac:dyDescent="0.4">
      <c r="B11" s="54" t="s">
        <v>22</v>
      </c>
      <c r="C11" s="55"/>
      <c r="D11" s="55"/>
      <c r="E11" s="2">
        <f>11.16 + 0.006*E3</f>
        <v>14.16</v>
      </c>
      <c r="F11" s="3" t="s">
        <v>23</v>
      </c>
    </row>
  </sheetData>
  <mergeCells count="7">
    <mergeCell ref="B8:F8"/>
    <mergeCell ref="B10:D10"/>
    <mergeCell ref="B11:D11"/>
    <mergeCell ref="B2:E2"/>
    <mergeCell ref="B4:D4"/>
    <mergeCell ref="B6:F6"/>
    <mergeCell ref="B7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1B661-92DB-4730-A97B-EA081C4ED9AE}">
  <dimension ref="B1:P22"/>
  <sheetViews>
    <sheetView tabSelected="1" topLeftCell="A3" workbookViewId="0">
      <selection activeCell="B23" sqref="B23"/>
    </sheetView>
  </sheetViews>
  <sheetFormatPr defaultRowHeight="14.5" x14ac:dyDescent="0.35"/>
  <cols>
    <col min="2" max="4" width="12.6328125" customWidth="1"/>
    <col min="6" max="6" width="14.1796875" customWidth="1"/>
    <col min="8" max="8" width="14.453125" customWidth="1"/>
    <col min="10" max="10" width="12.81640625" bestFit="1" customWidth="1"/>
    <col min="12" max="12" width="12.81640625" bestFit="1" customWidth="1"/>
    <col min="13" max="13" width="10.54296875" customWidth="1"/>
    <col min="14" max="14" width="12" bestFit="1" customWidth="1"/>
  </cols>
  <sheetData>
    <row r="1" spans="2:16" ht="15" thickBot="1" x14ac:dyDescent="0.4"/>
    <row r="2" spans="2:16" ht="15" thickBot="1" x14ac:dyDescent="0.4">
      <c r="B2" s="58" t="s">
        <v>15</v>
      </c>
      <c r="C2" s="59"/>
      <c r="D2" s="59"/>
      <c r="E2" s="59"/>
      <c r="F2" s="4"/>
      <c r="G2" s="4"/>
      <c r="H2" s="4"/>
      <c r="I2" s="1"/>
    </row>
    <row r="3" spans="2:16" ht="40.75" customHeight="1" thickBot="1" x14ac:dyDescent="0.4">
      <c r="B3" s="8" t="s">
        <v>24</v>
      </c>
      <c r="C3" s="9">
        <v>200</v>
      </c>
      <c r="D3" s="8" t="s">
        <v>25</v>
      </c>
      <c r="E3" s="11">
        <v>500</v>
      </c>
      <c r="F3" s="8" t="s">
        <v>30</v>
      </c>
      <c r="G3" s="9">
        <v>300</v>
      </c>
      <c r="H3" s="8" t="s">
        <v>31</v>
      </c>
      <c r="I3" s="11">
        <v>400</v>
      </c>
      <c r="K3" s="26" t="s">
        <v>0</v>
      </c>
      <c r="L3" s="34" t="s">
        <v>17</v>
      </c>
      <c r="M3" s="27" t="s">
        <v>26</v>
      </c>
      <c r="N3" s="34" t="s">
        <v>8</v>
      </c>
      <c r="O3" s="27" t="s">
        <v>27</v>
      </c>
      <c r="P3" s="35" t="s">
        <v>28</v>
      </c>
    </row>
    <row r="4" spans="2:16" ht="15" thickBot="1" x14ac:dyDescent="0.4">
      <c r="B4" s="54" t="s">
        <v>16</v>
      </c>
      <c r="C4" s="55"/>
      <c r="D4" s="55"/>
      <c r="E4" s="2"/>
      <c r="F4" s="2"/>
      <c r="G4" s="2"/>
      <c r="H4" s="2"/>
      <c r="I4" s="3"/>
      <c r="K4" s="20">
        <v>1</v>
      </c>
      <c r="L4" s="19">
        <v>12.5</v>
      </c>
      <c r="M4" s="19">
        <v>200</v>
      </c>
      <c r="N4" s="38">
        <f>L4*M4</f>
        <v>2500</v>
      </c>
      <c r="O4" s="19">
        <f>(120+9.3*M4+0.0025*M4^2)*1.2</f>
        <v>2496</v>
      </c>
      <c r="P4" s="39">
        <f>N4-O4</f>
        <v>4</v>
      </c>
    </row>
    <row r="5" spans="2:16" ht="15" thickBot="1" x14ac:dyDescent="0.4">
      <c r="K5" s="20">
        <v>2</v>
      </c>
      <c r="L5" s="19">
        <v>10</v>
      </c>
      <c r="M5" s="19">
        <f>IF(L5&lt;$E$10, $C$3, IF(L5&gt;$E$12, $G$3, (L5-11.16)/0.006))</f>
        <v>200</v>
      </c>
      <c r="N5" s="19">
        <f t="shared" ref="N5:N9" si="0">L5*M5</f>
        <v>2000</v>
      </c>
      <c r="O5" s="19">
        <f t="shared" ref="O5:O9" si="1">(120+9.3*M5+0.0025*M5^2)*1.2</f>
        <v>2496</v>
      </c>
      <c r="P5" s="39">
        <f t="shared" ref="P5:P9" si="2">N5-O5</f>
        <v>-496</v>
      </c>
    </row>
    <row r="6" spans="2:16" x14ac:dyDescent="0.35">
      <c r="B6" s="56" t="s">
        <v>18</v>
      </c>
      <c r="C6" s="57"/>
      <c r="D6" s="57"/>
      <c r="E6" s="57"/>
      <c r="F6" s="57"/>
      <c r="G6" s="4"/>
      <c r="H6" s="4"/>
      <c r="I6" s="1"/>
      <c r="K6" s="20">
        <v>3</v>
      </c>
      <c r="L6" s="19">
        <v>13</v>
      </c>
      <c r="M6" s="19">
        <v>300</v>
      </c>
      <c r="N6" s="38">
        <f t="shared" si="0"/>
        <v>3900</v>
      </c>
      <c r="O6" s="19">
        <f t="shared" si="1"/>
        <v>3762</v>
      </c>
      <c r="P6" s="39">
        <f t="shared" si="2"/>
        <v>138</v>
      </c>
    </row>
    <row r="7" spans="2:16" x14ac:dyDescent="0.35">
      <c r="B7" s="60" t="s">
        <v>19</v>
      </c>
      <c r="C7" s="61"/>
      <c r="D7" s="61"/>
      <c r="E7" s="61"/>
      <c r="F7" s="61"/>
      <c r="G7" s="61"/>
      <c r="H7" s="61"/>
      <c r="I7" s="62"/>
      <c r="K7" s="20">
        <v>4</v>
      </c>
      <c r="L7" s="19">
        <v>13.5</v>
      </c>
      <c r="M7" s="19">
        <v>400</v>
      </c>
      <c r="N7" s="19">
        <f t="shared" si="0"/>
        <v>5400</v>
      </c>
      <c r="O7" s="19">
        <f t="shared" si="1"/>
        <v>5088</v>
      </c>
      <c r="P7" s="39">
        <f t="shared" si="2"/>
        <v>312</v>
      </c>
    </row>
    <row r="8" spans="2:16" ht="15" thickBot="1" x14ac:dyDescent="0.4">
      <c r="B8" s="54"/>
      <c r="C8" s="55"/>
      <c r="D8" s="55"/>
      <c r="E8" s="55"/>
      <c r="F8" s="55"/>
      <c r="G8" s="6"/>
      <c r="H8" s="6"/>
      <c r="I8" s="7"/>
      <c r="K8" s="20">
        <v>5</v>
      </c>
      <c r="L8" s="19">
        <v>15</v>
      </c>
      <c r="M8" s="19">
        <v>500</v>
      </c>
      <c r="N8" s="19">
        <f t="shared" si="0"/>
        <v>7500</v>
      </c>
      <c r="O8" s="19">
        <f t="shared" si="1"/>
        <v>6474</v>
      </c>
      <c r="P8" s="39">
        <f t="shared" si="2"/>
        <v>1026</v>
      </c>
    </row>
    <row r="9" spans="2:16" ht="15" thickBot="1" x14ac:dyDescent="0.4">
      <c r="K9" s="22">
        <v>6</v>
      </c>
      <c r="L9" s="23">
        <v>11</v>
      </c>
      <c r="M9" s="23">
        <f t="shared" ref="M9" si="3">IF(L9&lt;$E$10, $C$3, IF(L9&gt;$E$12, $G$3, (L9-11.16)/0.006))</f>
        <v>200</v>
      </c>
      <c r="N9" s="23">
        <f t="shared" si="0"/>
        <v>2200</v>
      </c>
      <c r="O9" s="24">
        <f t="shared" si="1"/>
        <v>2496</v>
      </c>
      <c r="P9" s="40">
        <f t="shared" si="2"/>
        <v>-296</v>
      </c>
    </row>
    <row r="10" spans="2:16" ht="15" thickBot="1" x14ac:dyDescent="0.4">
      <c r="B10" s="67" t="s">
        <v>39</v>
      </c>
      <c r="C10" s="68"/>
      <c r="D10" s="68"/>
      <c r="E10" s="4">
        <f>144+11.16*C3+0.003*C3^2</f>
        <v>2496</v>
      </c>
      <c r="F10" s="1" t="s">
        <v>43</v>
      </c>
      <c r="O10" s="37" t="s">
        <v>29</v>
      </c>
      <c r="P10" s="52">
        <f>SUM(P4:P9)</f>
        <v>688</v>
      </c>
    </row>
    <row r="11" spans="2:16" x14ac:dyDescent="0.35">
      <c r="B11" s="65" t="s">
        <v>41</v>
      </c>
      <c r="C11" s="5"/>
      <c r="D11" s="5"/>
      <c r="E11" s="5">
        <f>144+11.16*G3+0.003*G3^2</f>
        <v>3762</v>
      </c>
      <c r="F11" s="13" t="s">
        <v>43</v>
      </c>
    </row>
    <row r="12" spans="2:16" x14ac:dyDescent="0.35">
      <c r="B12" s="65" t="s">
        <v>42</v>
      </c>
      <c r="C12" s="5"/>
      <c r="D12" s="5"/>
      <c r="E12" s="5">
        <f>144+11.16*I3+0.003*I3^2</f>
        <v>5088</v>
      </c>
      <c r="F12" s="13" t="s">
        <v>43</v>
      </c>
    </row>
    <row r="13" spans="2:16" ht="15" thickBot="1" x14ac:dyDescent="0.4">
      <c r="B13" s="66" t="s">
        <v>40</v>
      </c>
      <c r="C13" s="2"/>
      <c r="D13" s="2"/>
      <c r="E13" s="2">
        <f>144+11.16*E3+0.003*E3^2</f>
        <v>6474</v>
      </c>
      <c r="F13" s="3" t="s">
        <v>43</v>
      </c>
    </row>
    <row r="14" spans="2:16" ht="15" thickBot="1" x14ac:dyDescent="0.4"/>
    <row r="15" spans="2:16" x14ac:dyDescent="0.35">
      <c r="B15" s="67" t="s">
        <v>44</v>
      </c>
      <c r="C15" s="68"/>
      <c r="D15" s="68"/>
      <c r="E15" s="4">
        <f>(E11-E10)/(G3-C3)</f>
        <v>12.66</v>
      </c>
      <c r="F15" s="1" t="s">
        <v>23</v>
      </c>
    </row>
    <row r="16" spans="2:16" x14ac:dyDescent="0.35">
      <c r="B16" s="69" t="s">
        <v>45</v>
      </c>
      <c r="C16" s="70"/>
      <c r="D16" s="70"/>
      <c r="E16" s="5">
        <f>(E12-E11)/(I3-G3)</f>
        <v>13.26</v>
      </c>
      <c r="F16" s="13" t="s">
        <v>23</v>
      </c>
    </row>
    <row r="17" spans="2:6" ht="15" thickBot="1" x14ac:dyDescent="0.4">
      <c r="B17" s="66" t="s">
        <v>46</v>
      </c>
      <c r="C17" s="2"/>
      <c r="D17" s="2"/>
      <c r="E17" s="2">
        <f>(E13-E12)/(E3-I3)</f>
        <v>13.86</v>
      </c>
      <c r="F17" s="3" t="s">
        <v>23</v>
      </c>
    </row>
    <row r="19" spans="2:6" x14ac:dyDescent="0.35">
      <c r="B19" t="s">
        <v>47</v>
      </c>
    </row>
    <row r="20" spans="2:6" x14ac:dyDescent="0.35">
      <c r="B20" t="s">
        <v>48</v>
      </c>
    </row>
    <row r="21" spans="2:6" x14ac:dyDescent="0.35">
      <c r="B21" t="s">
        <v>49</v>
      </c>
    </row>
    <row r="22" spans="2:6" x14ac:dyDescent="0.35">
      <c r="B22" t="s">
        <v>50</v>
      </c>
    </row>
  </sheetData>
  <mergeCells count="8">
    <mergeCell ref="B15:D15"/>
    <mergeCell ref="B16:D16"/>
    <mergeCell ref="B2:E2"/>
    <mergeCell ref="B4:D4"/>
    <mergeCell ref="B6:F6"/>
    <mergeCell ref="B7:I7"/>
    <mergeCell ref="B8:F8"/>
    <mergeCell ref="B10:D10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39822-4712-4DB5-BDB2-FAA43C8AA818}">
  <dimension ref="B1:Q18"/>
  <sheetViews>
    <sheetView zoomScale="103" workbookViewId="0">
      <selection activeCell="P10" sqref="P10"/>
    </sheetView>
  </sheetViews>
  <sheetFormatPr defaultRowHeight="14.5" x14ac:dyDescent="0.35"/>
  <cols>
    <col min="2" max="2" width="10" customWidth="1"/>
    <col min="4" max="4" width="10.08984375" customWidth="1"/>
    <col min="10" max="10" width="12.81640625" bestFit="1" customWidth="1"/>
    <col min="12" max="12" width="12.81640625" bestFit="1" customWidth="1"/>
    <col min="13" max="13" width="11" customWidth="1"/>
    <col min="14" max="14" width="12" bestFit="1" customWidth="1"/>
    <col min="17" max="17" width="11.08984375" customWidth="1"/>
  </cols>
  <sheetData>
    <row r="1" spans="2:17" ht="15" thickBot="1" x14ac:dyDescent="0.4"/>
    <row r="2" spans="2:17" ht="15" thickBot="1" x14ac:dyDescent="0.4">
      <c r="B2" s="58" t="s">
        <v>15</v>
      </c>
      <c r="C2" s="59"/>
      <c r="D2" s="59"/>
      <c r="E2" s="59"/>
      <c r="F2" s="1"/>
    </row>
    <row r="3" spans="2:17" ht="32.4" customHeight="1" thickBot="1" x14ac:dyDescent="0.4">
      <c r="B3" s="8" t="s">
        <v>24</v>
      </c>
      <c r="C3" s="9">
        <v>200</v>
      </c>
      <c r="D3" s="8" t="s">
        <v>25</v>
      </c>
      <c r="E3" s="10">
        <v>500</v>
      </c>
      <c r="F3" s="11"/>
      <c r="K3" s="26" t="s">
        <v>0</v>
      </c>
      <c r="L3" s="34" t="s">
        <v>17</v>
      </c>
      <c r="M3" s="27" t="s">
        <v>26</v>
      </c>
      <c r="N3" s="34" t="s">
        <v>8</v>
      </c>
      <c r="O3" s="27" t="s">
        <v>27</v>
      </c>
      <c r="P3" s="34" t="s">
        <v>28</v>
      </c>
      <c r="Q3" s="28" t="s">
        <v>32</v>
      </c>
    </row>
    <row r="4" spans="2:17" ht="15" thickBot="1" x14ac:dyDescent="0.4">
      <c r="B4" s="54" t="s">
        <v>16</v>
      </c>
      <c r="C4" s="55"/>
      <c r="D4" s="55"/>
      <c r="E4" s="2"/>
      <c r="F4" s="3"/>
      <c r="K4" s="20">
        <v>1</v>
      </c>
      <c r="L4" s="19">
        <v>12.5</v>
      </c>
      <c r="M4" s="19">
        <f>IF(L4&lt;$E$10, $C$3, IF(L4&gt;$E$11, $E$3, (L4-11.16)/0.006))</f>
        <v>223.33333333333331</v>
      </c>
      <c r="N4" s="31">
        <f>L4*M4</f>
        <v>2791.6666666666665</v>
      </c>
      <c r="O4" s="19">
        <f>(120+9.3*M4+0.0025*M4^2)*1.2</f>
        <v>2786.0333333333333</v>
      </c>
      <c r="P4" s="31">
        <f>N4-O4</f>
        <v>5.6333333333332121</v>
      </c>
      <c r="Q4" s="32">
        <f>P4</f>
        <v>5.6333333333332121</v>
      </c>
    </row>
    <row r="5" spans="2:17" ht="15" thickBot="1" x14ac:dyDescent="0.4">
      <c r="K5" s="20">
        <v>2</v>
      </c>
      <c r="L5" s="19">
        <v>10</v>
      </c>
      <c r="M5" s="19">
        <f>IF(L5&lt;$E$10, $C$3, IF(L5&gt;$E$11, $E$3, (L5-11.16)/0.006))</f>
        <v>200</v>
      </c>
      <c r="N5" s="19">
        <f t="shared" ref="N5:N9" si="0">L5*M5</f>
        <v>2000</v>
      </c>
      <c r="O5" s="19">
        <f>(120+9.3*M5+0.0025*M5^2)*1.2</f>
        <v>2496</v>
      </c>
      <c r="P5" s="31">
        <f t="shared" ref="P5:P9" si="1">N5-O5</f>
        <v>-496</v>
      </c>
      <c r="Q5" s="32">
        <f>Q4+P5</f>
        <v>-490.36666666666679</v>
      </c>
    </row>
    <row r="6" spans="2:17" x14ac:dyDescent="0.35">
      <c r="B6" s="56" t="s">
        <v>18</v>
      </c>
      <c r="C6" s="57"/>
      <c r="D6" s="57"/>
      <c r="E6" s="57"/>
      <c r="F6" s="57"/>
      <c r="G6" s="4"/>
      <c r="H6" s="4"/>
      <c r="I6" s="1"/>
      <c r="K6" s="20">
        <v>3</v>
      </c>
      <c r="L6" s="19">
        <v>13</v>
      </c>
      <c r="M6" s="19">
        <f t="shared" ref="M6:M9" si="2">IF(L6&lt;$E$10, $C$3, IF(L6&gt;$E$11, $E$3, (L6-11.16)/0.006))</f>
        <v>306.66666666666663</v>
      </c>
      <c r="N6" s="31">
        <f t="shared" si="0"/>
        <v>3986.6666666666661</v>
      </c>
      <c r="O6" s="19">
        <f>(120+9.3*M6+0.0025*M6^2)*1.2+500</f>
        <v>4348.5333333333328</v>
      </c>
      <c r="P6" s="31">
        <f t="shared" si="1"/>
        <v>-361.86666666666679</v>
      </c>
      <c r="Q6" s="32">
        <f t="shared" ref="Q6:Q9" si="3">Q5+P6</f>
        <v>-852.23333333333358</v>
      </c>
    </row>
    <row r="7" spans="2:17" x14ac:dyDescent="0.35">
      <c r="B7" s="60" t="s">
        <v>19</v>
      </c>
      <c r="C7" s="61"/>
      <c r="D7" s="61"/>
      <c r="E7" s="61"/>
      <c r="F7" s="61"/>
      <c r="G7" s="61"/>
      <c r="H7" s="61"/>
      <c r="I7" s="62"/>
      <c r="K7" s="20">
        <v>4</v>
      </c>
      <c r="L7" s="19">
        <v>13.5</v>
      </c>
      <c r="M7" s="19">
        <f t="shared" si="2"/>
        <v>389.99999999999994</v>
      </c>
      <c r="N7" s="19">
        <f t="shared" si="0"/>
        <v>5264.9999999999991</v>
      </c>
      <c r="O7" s="19">
        <f>(120+9.3*M7+0.0025*M7^2)*1.2</f>
        <v>4952.6999999999989</v>
      </c>
      <c r="P7" s="31">
        <f t="shared" si="1"/>
        <v>312.30000000000018</v>
      </c>
      <c r="Q7" s="32">
        <f t="shared" si="3"/>
        <v>-539.93333333333339</v>
      </c>
    </row>
    <row r="8" spans="2:17" ht="15" thickBot="1" x14ac:dyDescent="0.4">
      <c r="B8" s="54" t="s">
        <v>20</v>
      </c>
      <c r="C8" s="55"/>
      <c r="D8" s="55"/>
      <c r="E8" s="55"/>
      <c r="F8" s="55"/>
      <c r="G8" s="6"/>
      <c r="H8" s="6"/>
      <c r="I8" s="7"/>
      <c r="K8" s="20">
        <v>5</v>
      </c>
      <c r="L8" s="19">
        <v>15</v>
      </c>
      <c r="M8" s="19">
        <f t="shared" si="2"/>
        <v>500</v>
      </c>
      <c r="N8" s="19">
        <f t="shared" si="0"/>
        <v>7500</v>
      </c>
      <c r="O8" s="19">
        <f>(120+9.3*M8+0.0025*M8^2)*1.2</f>
        <v>6474</v>
      </c>
      <c r="P8" s="31">
        <f t="shared" si="1"/>
        <v>1026</v>
      </c>
      <c r="Q8" s="32">
        <f t="shared" si="3"/>
        <v>486.06666666666661</v>
      </c>
    </row>
    <row r="9" spans="2:17" ht="15" thickBot="1" x14ac:dyDescent="0.4">
      <c r="K9" s="22">
        <v>6</v>
      </c>
      <c r="L9" s="23">
        <v>11</v>
      </c>
      <c r="M9" s="23">
        <f t="shared" si="2"/>
        <v>200</v>
      </c>
      <c r="N9" s="23">
        <f t="shared" si="0"/>
        <v>2200</v>
      </c>
      <c r="O9" s="24">
        <f t="shared" ref="O9" si="4">(120+9.3*M9+0.0025*M9^2)*1.2</f>
        <v>2496</v>
      </c>
      <c r="P9" s="41">
        <f t="shared" si="1"/>
        <v>-296</v>
      </c>
      <c r="Q9" s="33">
        <f t="shared" si="3"/>
        <v>190.06666666666661</v>
      </c>
    </row>
    <row r="10" spans="2:17" ht="15" thickBot="1" x14ac:dyDescent="0.4">
      <c r="B10" s="56" t="s">
        <v>21</v>
      </c>
      <c r="C10" s="57"/>
      <c r="D10" s="57"/>
      <c r="E10" s="4">
        <f>11.16 + 0.006*C3</f>
        <v>12.36</v>
      </c>
      <c r="F10" s="1" t="s">
        <v>23</v>
      </c>
      <c r="O10" s="37" t="s">
        <v>29</v>
      </c>
      <c r="P10" s="53">
        <f>SUM(P4:P9)</f>
        <v>190.06666666666661</v>
      </c>
    </row>
    <row r="11" spans="2:17" ht="15" thickBot="1" x14ac:dyDescent="0.4">
      <c r="B11" s="54" t="s">
        <v>22</v>
      </c>
      <c r="C11" s="55"/>
      <c r="D11" s="55"/>
      <c r="E11" s="2">
        <f>11.16 + 0.006*E3</f>
        <v>14.16</v>
      </c>
      <c r="F11" s="3" t="s">
        <v>23</v>
      </c>
    </row>
    <row r="12" spans="2:17" ht="29" x14ac:dyDescent="0.35">
      <c r="L12" s="46" t="s">
        <v>33</v>
      </c>
      <c r="M12" s="47" t="s">
        <v>34</v>
      </c>
      <c r="N12" s="48" t="s">
        <v>37</v>
      </c>
    </row>
    <row r="13" spans="2:17" x14ac:dyDescent="0.35">
      <c r="L13" s="42">
        <v>1</v>
      </c>
      <c r="M13">
        <v>5</v>
      </c>
      <c r="N13" s="43">
        <v>486.06700000000001</v>
      </c>
    </row>
    <row r="14" spans="2:17" ht="15" thickBot="1" x14ac:dyDescent="0.4">
      <c r="L14" s="42">
        <v>2</v>
      </c>
      <c r="M14">
        <v>5</v>
      </c>
      <c r="N14" s="43">
        <v>480.43299999999999</v>
      </c>
    </row>
    <row r="15" spans="2:17" ht="15" thickBot="1" x14ac:dyDescent="0.4">
      <c r="L15" s="15">
        <v>3</v>
      </c>
      <c r="M15" s="16">
        <v>5</v>
      </c>
      <c r="N15" s="14">
        <v>976.43299999999999</v>
      </c>
    </row>
    <row r="16" spans="2:17" x14ac:dyDescent="0.35">
      <c r="L16" s="42">
        <v>4</v>
      </c>
      <c r="M16">
        <v>5</v>
      </c>
      <c r="N16" s="43">
        <v>838.3</v>
      </c>
    </row>
    <row r="17" spans="12:14" x14ac:dyDescent="0.35">
      <c r="L17" s="42">
        <v>5</v>
      </c>
      <c r="M17">
        <v>6</v>
      </c>
      <c r="N17" s="43">
        <v>230</v>
      </c>
    </row>
    <row r="18" spans="12:14" ht="15" thickBot="1" x14ac:dyDescent="0.4">
      <c r="L18" s="44">
        <v>6</v>
      </c>
      <c r="M18" s="6">
        <v>6</v>
      </c>
      <c r="N18" s="45" t="s">
        <v>35</v>
      </c>
    </row>
  </sheetData>
  <mergeCells count="7">
    <mergeCell ref="B11:D11"/>
    <mergeCell ref="B2:E2"/>
    <mergeCell ref="B4:D4"/>
    <mergeCell ref="B6:F6"/>
    <mergeCell ref="B7:I7"/>
    <mergeCell ref="B8:F8"/>
    <mergeCell ref="B10:D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0108D-6F21-47F9-BD15-D804A3D8F7C0}">
  <dimension ref="B1:Q18"/>
  <sheetViews>
    <sheetView zoomScale="103" workbookViewId="0">
      <selection activeCell="J13" sqref="J13"/>
    </sheetView>
  </sheetViews>
  <sheetFormatPr defaultRowHeight="14.5" x14ac:dyDescent="0.35"/>
  <cols>
    <col min="2" max="2" width="10" customWidth="1"/>
    <col min="4" max="4" width="10.08984375" customWidth="1"/>
    <col min="10" max="10" width="12.81640625" bestFit="1" customWidth="1"/>
    <col min="12" max="12" width="12.81640625" bestFit="1" customWidth="1"/>
    <col min="13" max="13" width="10.54296875" customWidth="1"/>
    <col min="14" max="14" width="12" bestFit="1" customWidth="1"/>
    <col min="17" max="17" width="11" customWidth="1"/>
  </cols>
  <sheetData>
    <row r="1" spans="2:17" ht="15" thickBot="1" x14ac:dyDescent="0.4"/>
    <row r="2" spans="2:17" ht="15" thickBot="1" x14ac:dyDescent="0.4">
      <c r="B2" s="58" t="s">
        <v>15</v>
      </c>
      <c r="C2" s="59"/>
      <c r="D2" s="59"/>
      <c r="E2" s="59"/>
      <c r="F2" s="1"/>
    </row>
    <row r="3" spans="2:17" ht="32.4" customHeight="1" thickBot="1" x14ac:dyDescent="0.4">
      <c r="B3" s="8" t="s">
        <v>24</v>
      </c>
      <c r="C3" s="9">
        <v>200</v>
      </c>
      <c r="D3" s="8" t="s">
        <v>25</v>
      </c>
      <c r="E3" s="10">
        <v>500</v>
      </c>
      <c r="F3" s="11"/>
      <c r="K3" s="26" t="s">
        <v>0</v>
      </c>
      <c r="L3" s="34" t="s">
        <v>17</v>
      </c>
      <c r="M3" s="27" t="s">
        <v>26</v>
      </c>
      <c r="N3" s="34" t="s">
        <v>8</v>
      </c>
      <c r="O3" s="27" t="s">
        <v>27</v>
      </c>
      <c r="P3" s="34" t="s">
        <v>28</v>
      </c>
      <c r="Q3" s="28" t="s">
        <v>32</v>
      </c>
    </row>
    <row r="4" spans="2:17" ht="15" thickBot="1" x14ac:dyDescent="0.4">
      <c r="B4" s="54" t="s">
        <v>16</v>
      </c>
      <c r="C4" s="55"/>
      <c r="D4" s="55"/>
      <c r="E4" s="2"/>
      <c r="F4" s="3"/>
      <c r="K4" s="20">
        <v>1</v>
      </c>
      <c r="L4" s="19">
        <v>12.5</v>
      </c>
      <c r="M4" s="19">
        <f>IF(L4&lt;$E$10, $C$3, IF(L4&gt;$E$11, $E$3, (L4-11.16)/0.006))</f>
        <v>223.33333333333331</v>
      </c>
      <c r="N4" s="31">
        <f>L4*M4</f>
        <v>2791.6666666666665</v>
      </c>
      <c r="O4" s="19">
        <f>(120+9.3*M4+0.0025*M4^2)*1.2</f>
        <v>2786.0333333333333</v>
      </c>
      <c r="P4" s="31">
        <f>N4-O4</f>
        <v>5.6333333333332121</v>
      </c>
      <c r="Q4" s="32">
        <f>P4</f>
        <v>5.6333333333332121</v>
      </c>
    </row>
    <row r="5" spans="2:17" ht="15" thickBot="1" x14ac:dyDescent="0.4">
      <c r="K5" s="20">
        <v>2</v>
      </c>
      <c r="L5" s="19">
        <v>10</v>
      </c>
      <c r="M5" s="19">
        <f>IF(L5&lt;$E$10, $C$3, IF(L5&gt;$E$11, $E$3, (L5-11.16)/0.006))</f>
        <v>200</v>
      </c>
      <c r="N5" s="19">
        <f t="shared" ref="N5:N9" si="0">L5*M5</f>
        <v>2000</v>
      </c>
      <c r="O5" s="19">
        <f>(120+9.3*M5+0.0025*M5^2)*1.2</f>
        <v>2496</v>
      </c>
      <c r="P5" s="31">
        <f t="shared" ref="P5:P9" si="1">N5-O5</f>
        <v>-496</v>
      </c>
      <c r="Q5" s="32">
        <f>Q4+P5</f>
        <v>-490.36666666666679</v>
      </c>
    </row>
    <row r="6" spans="2:17" x14ac:dyDescent="0.35">
      <c r="B6" s="56" t="s">
        <v>18</v>
      </c>
      <c r="C6" s="57"/>
      <c r="D6" s="57"/>
      <c r="E6" s="57"/>
      <c r="F6" s="57"/>
      <c r="G6" s="4"/>
      <c r="H6" s="4"/>
      <c r="I6" s="1"/>
      <c r="K6" s="20">
        <v>3</v>
      </c>
      <c r="L6" s="19">
        <v>13</v>
      </c>
      <c r="M6" s="19">
        <f t="shared" ref="M6:M9" si="2">IF(L6&lt;$E$10, $C$3, IF(L6&gt;$E$11, $E$3, (L6-11.16)/0.006))</f>
        <v>306.66666666666663</v>
      </c>
      <c r="N6" s="31">
        <f t="shared" si="0"/>
        <v>3986.6666666666661</v>
      </c>
      <c r="O6" s="19">
        <f>(120+9.3*M6+0.0025*M6^2)*1.2+500</f>
        <v>4348.5333333333328</v>
      </c>
      <c r="P6" s="31">
        <f t="shared" si="1"/>
        <v>-361.86666666666679</v>
      </c>
      <c r="Q6" s="32">
        <f t="shared" ref="Q6:Q9" si="3">Q5+P6</f>
        <v>-852.23333333333358</v>
      </c>
    </row>
    <row r="7" spans="2:17" x14ac:dyDescent="0.35">
      <c r="B7" s="60" t="s">
        <v>19</v>
      </c>
      <c r="C7" s="61"/>
      <c r="D7" s="61"/>
      <c r="E7" s="61"/>
      <c r="F7" s="61"/>
      <c r="G7" s="61"/>
      <c r="H7" s="61"/>
      <c r="I7" s="62"/>
      <c r="K7" s="20">
        <v>4</v>
      </c>
      <c r="L7" s="19">
        <v>13.5</v>
      </c>
      <c r="M7" s="19">
        <f t="shared" si="2"/>
        <v>389.99999999999994</v>
      </c>
      <c r="N7" s="19">
        <f t="shared" si="0"/>
        <v>5264.9999999999991</v>
      </c>
      <c r="O7" s="19">
        <f>(120+9.3*M7+0.0025*M7^2)*1.2</f>
        <v>4952.6999999999989</v>
      </c>
      <c r="P7" s="31">
        <f t="shared" si="1"/>
        <v>312.30000000000018</v>
      </c>
      <c r="Q7" s="32">
        <f t="shared" si="3"/>
        <v>-539.93333333333339</v>
      </c>
    </row>
    <row r="8" spans="2:17" ht="15" thickBot="1" x14ac:dyDescent="0.4">
      <c r="B8" s="54" t="s">
        <v>20</v>
      </c>
      <c r="C8" s="55"/>
      <c r="D8" s="55"/>
      <c r="E8" s="55"/>
      <c r="F8" s="55"/>
      <c r="G8" s="6"/>
      <c r="H8" s="6"/>
      <c r="I8" s="7"/>
      <c r="K8" s="20">
        <v>5</v>
      </c>
      <c r="L8" s="19">
        <v>15</v>
      </c>
      <c r="M8" s="19">
        <f t="shared" si="2"/>
        <v>500</v>
      </c>
      <c r="N8" s="19">
        <f t="shared" si="0"/>
        <v>7500</v>
      </c>
      <c r="O8" s="19">
        <f>(120+9.3*M8+0.0025*M8^2)*1.2</f>
        <v>6474</v>
      </c>
      <c r="P8" s="31">
        <f t="shared" si="1"/>
        <v>1026</v>
      </c>
      <c r="Q8" s="32">
        <f t="shared" si="3"/>
        <v>486.06666666666661</v>
      </c>
    </row>
    <row r="9" spans="2:17" ht="15" thickBot="1" x14ac:dyDescent="0.4">
      <c r="K9" s="22">
        <v>6</v>
      </c>
      <c r="L9" s="23">
        <v>11</v>
      </c>
      <c r="M9" s="23">
        <f t="shared" si="2"/>
        <v>200</v>
      </c>
      <c r="N9" s="23">
        <f t="shared" si="0"/>
        <v>2200</v>
      </c>
      <c r="O9" s="24">
        <f t="shared" ref="O9" si="4">(120+9.3*M9+0.0025*M9^2)*1.2</f>
        <v>2496</v>
      </c>
      <c r="P9" s="41">
        <f t="shared" si="1"/>
        <v>-296</v>
      </c>
      <c r="Q9" s="33">
        <f t="shared" si="3"/>
        <v>190.06666666666661</v>
      </c>
    </row>
    <row r="10" spans="2:17" ht="15" thickBot="1" x14ac:dyDescent="0.4">
      <c r="B10" s="56" t="s">
        <v>21</v>
      </c>
      <c r="C10" s="57"/>
      <c r="D10" s="57"/>
      <c r="E10" s="4">
        <f>11.16 + 0.006*C3</f>
        <v>12.36</v>
      </c>
      <c r="F10" s="1" t="s">
        <v>23</v>
      </c>
      <c r="O10" s="37" t="s">
        <v>29</v>
      </c>
      <c r="P10" s="53">
        <f>SUM(P4:P9)</f>
        <v>190.06666666666661</v>
      </c>
    </row>
    <row r="11" spans="2:17" ht="15" thickBot="1" x14ac:dyDescent="0.4">
      <c r="B11" s="54" t="s">
        <v>22</v>
      </c>
      <c r="C11" s="55"/>
      <c r="D11" s="55"/>
      <c r="E11" s="2">
        <f>11.16 + 0.006*E3</f>
        <v>14.16</v>
      </c>
      <c r="F11" s="3" t="s">
        <v>23</v>
      </c>
    </row>
    <row r="12" spans="2:17" ht="15" thickBot="1" x14ac:dyDescent="0.4">
      <c r="L12" s="63" t="s">
        <v>36</v>
      </c>
      <c r="M12" s="64"/>
      <c r="N12" s="18">
        <v>4</v>
      </c>
    </row>
    <row r="13" spans="2:17" ht="15" thickBot="1" x14ac:dyDescent="0.4"/>
    <row r="14" spans="2:17" ht="29" x14ac:dyDescent="0.35">
      <c r="L14" s="46" t="s">
        <v>33</v>
      </c>
      <c r="M14" s="47" t="s">
        <v>34</v>
      </c>
      <c r="N14" s="48" t="s">
        <v>37</v>
      </c>
    </row>
    <row r="15" spans="2:17" x14ac:dyDescent="0.35">
      <c r="L15" s="42">
        <v>1</v>
      </c>
      <c r="M15">
        <v>4</v>
      </c>
      <c r="N15" s="43">
        <v>-539.93299999999999</v>
      </c>
    </row>
    <row r="16" spans="2:17" ht="15" thickBot="1" x14ac:dyDescent="0.4">
      <c r="L16" s="42">
        <v>2</v>
      </c>
      <c r="M16">
        <v>5</v>
      </c>
      <c r="N16" s="43">
        <v>480.43299999999999</v>
      </c>
    </row>
    <row r="17" spans="12:14" ht="15" thickBot="1" x14ac:dyDescent="0.4">
      <c r="L17" s="15">
        <v>3</v>
      </c>
      <c r="M17" s="18">
        <v>6</v>
      </c>
      <c r="N17" s="14">
        <v>680.43299999999999</v>
      </c>
    </row>
    <row r="18" spans="12:14" x14ac:dyDescent="0.35">
      <c r="N18" s="17"/>
    </row>
  </sheetData>
  <mergeCells count="8">
    <mergeCell ref="B11:D11"/>
    <mergeCell ref="L12:M12"/>
    <mergeCell ref="B2:E2"/>
    <mergeCell ref="B4:D4"/>
    <mergeCell ref="B6:F6"/>
    <mergeCell ref="B7:I7"/>
    <mergeCell ref="B8:F8"/>
    <mergeCell ref="B10:D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3F4FF-6373-445B-98CE-0AB1929FB35B}">
  <dimension ref="D6:J13"/>
  <sheetViews>
    <sheetView workbookViewId="0">
      <selection activeCell="F25" sqref="F25"/>
    </sheetView>
  </sheetViews>
  <sheetFormatPr defaultRowHeight="14.5" x14ac:dyDescent="0.35"/>
  <cols>
    <col min="5" max="5" width="11.08984375" bestFit="1" customWidth="1"/>
    <col min="10" max="10" width="10.54296875" bestFit="1" customWidth="1"/>
  </cols>
  <sheetData>
    <row r="6" spans="4:10" ht="15" thickBot="1" x14ac:dyDescent="0.4"/>
    <row r="7" spans="4:10" ht="15" thickBot="1" x14ac:dyDescent="0.4">
      <c r="D7" s="14" t="s">
        <v>38</v>
      </c>
    </row>
    <row r="11" spans="4:10" x14ac:dyDescent="0.35">
      <c r="J11" s="12"/>
    </row>
    <row r="12" spans="4:10" x14ac:dyDescent="0.35">
      <c r="J12" s="12"/>
    </row>
    <row r="13" spans="4:10" x14ac:dyDescent="0.35">
      <c r="J13" s="1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E24C4-7A80-48A4-A8DB-B2E120164854}">
  <dimension ref="E6:E7"/>
  <sheetViews>
    <sheetView workbookViewId="0">
      <selection activeCell="D23" sqref="D23"/>
    </sheetView>
  </sheetViews>
  <sheetFormatPr defaultRowHeight="14.5" x14ac:dyDescent="0.35"/>
  <sheetData>
    <row r="6" spans="5:5" ht="15" thickBot="1" x14ac:dyDescent="0.4"/>
    <row r="7" spans="5:5" ht="15" thickBot="1" x14ac:dyDescent="0.4">
      <c r="E7" s="14" t="s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4.1</vt:lpstr>
      <vt:lpstr>4.2</vt:lpstr>
      <vt:lpstr>4.3</vt:lpstr>
      <vt:lpstr>4.4</vt:lpstr>
      <vt:lpstr>4.5</vt:lpstr>
      <vt:lpstr>4.6</vt:lpstr>
      <vt:lpstr>4.7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Xiaodong Zhang</cp:lastModifiedBy>
  <dcterms:created xsi:type="dcterms:W3CDTF">2023-02-06T21:06:53Z</dcterms:created>
  <dcterms:modified xsi:type="dcterms:W3CDTF">2023-02-10T21:16:41Z</dcterms:modified>
</cp:coreProperties>
</file>