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Alie\Promethean Labs Dropbox\Valuation\"/>
    </mc:Choice>
  </mc:AlternateContent>
  <xr:revisionPtr revIDLastSave="0" documentId="13_ncr:1_{8B207446-1C98-495D-A427-DFC67B5C872A}" xr6:coauthVersionLast="37" xr6:coauthVersionMax="37" xr10:uidLastSave="{00000000-0000-0000-0000-000000000000}"/>
  <bookViews>
    <workbookView xWindow="863" yWindow="458" windowWidth="24743" windowHeight="15540" xr2:uid="{00000000-000D-0000-FFFF-FFFF00000000}"/>
  </bookViews>
  <sheets>
    <sheet name="Model" sheetId="4" r:id="rId1"/>
    <sheet name="TAM Assumptions" sheetId="5" r:id="rId2"/>
  </sheets>
  <definedNames>
    <definedName name="_xlnm.Print_Area" localSheetId="0">Model!$B$2:$S$113</definedName>
    <definedName name="_xlnm.Print_Area" localSheetId="1">'TAM Assumptions'!$B$2:$T$32</definedName>
  </definedNames>
  <calcPr calcId="179021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4" l="1"/>
  <c r="E90" i="4" s="1"/>
  <c r="F142" i="4"/>
  <c r="G142" i="4"/>
  <c r="H142" i="4"/>
  <c r="I142" i="4"/>
  <c r="J142" i="4"/>
  <c r="K142" i="4"/>
  <c r="L142" i="4"/>
  <c r="M142" i="4"/>
  <c r="N142" i="4"/>
  <c r="O142" i="4"/>
  <c r="P142" i="4"/>
  <c r="Q142" i="4"/>
  <c r="E142" i="4"/>
  <c r="K16" i="4"/>
  <c r="K17" i="4"/>
  <c r="K18" i="4"/>
  <c r="K19" i="4"/>
  <c r="K20" i="4"/>
  <c r="K21" i="4"/>
  <c r="K22" i="4"/>
  <c r="K23" i="4"/>
  <c r="F78" i="4"/>
  <c r="G78" i="4"/>
  <c r="H78" i="4"/>
  <c r="I78" i="4"/>
  <c r="J78" i="4"/>
  <c r="K78" i="4"/>
  <c r="L78" i="4"/>
  <c r="M78" i="4"/>
  <c r="N78" i="4"/>
  <c r="O78" i="4"/>
  <c r="P78" i="4"/>
  <c r="Q78" i="4"/>
  <c r="E78" i="4"/>
  <c r="F23" i="4"/>
  <c r="C74" i="4" s="1"/>
  <c r="C54" i="4" l="1"/>
  <c r="C139" i="4" s="1"/>
  <c r="C64" i="4"/>
  <c r="F21" i="5"/>
  <c r="G21" i="5" s="1"/>
  <c r="H21" i="5" s="1"/>
  <c r="I21" i="5" s="1"/>
  <c r="J21" i="5" s="1"/>
  <c r="K21" i="5" s="1"/>
  <c r="L21" i="5" s="1"/>
  <c r="M21" i="5" s="1"/>
  <c r="N21" i="5" s="1"/>
  <c r="O21" i="5" s="1"/>
  <c r="P21" i="5" s="1"/>
  <c r="Q21" i="5" s="1"/>
  <c r="R21" i="5" s="1"/>
  <c r="S21" i="5" s="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F19" i="5"/>
  <c r="G19" i="5" s="1"/>
  <c r="H19" i="5" s="1"/>
  <c r="I19" i="5" s="1"/>
  <c r="J19" i="5" s="1"/>
  <c r="K19" i="5" s="1"/>
  <c r="L19" i="5" s="1"/>
  <c r="M19" i="5" s="1"/>
  <c r="N19" i="5" s="1"/>
  <c r="O19" i="5" s="1"/>
  <c r="P19" i="5" s="1"/>
  <c r="Q19" i="5" s="1"/>
  <c r="R19" i="5" s="1"/>
  <c r="S19" i="5" s="1"/>
  <c r="F18" i="5"/>
  <c r="G18" i="5" s="1"/>
  <c r="H18" i="5" s="1"/>
  <c r="I18" i="5" s="1"/>
  <c r="J18" i="5" s="1"/>
  <c r="K18" i="5" s="1"/>
  <c r="L18" i="5" s="1"/>
  <c r="M18" i="5" s="1"/>
  <c r="N18" i="5" s="1"/>
  <c r="O18" i="5" s="1"/>
  <c r="P18" i="5" s="1"/>
  <c r="Q18" i="5" s="1"/>
  <c r="R18" i="5" s="1"/>
  <c r="S18" i="5" s="1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F15" i="5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F14" i="5"/>
  <c r="G14" i="5" s="1"/>
  <c r="H14" i="5" s="1"/>
  <c r="I14" i="5" s="1"/>
  <c r="J14" i="5" s="1"/>
  <c r="K14" i="5" s="1"/>
  <c r="L14" i="5" s="1"/>
  <c r="M14" i="5" s="1"/>
  <c r="N14" i="5" s="1"/>
  <c r="O14" i="5" s="1"/>
  <c r="P14" i="5" s="1"/>
  <c r="Q14" i="5" s="1"/>
  <c r="R14" i="5" s="1"/>
  <c r="S14" i="5" s="1"/>
  <c r="F30" i="5"/>
  <c r="G30" i="5" s="1"/>
  <c r="H30" i="5" s="1"/>
  <c r="I30" i="5" s="1"/>
  <c r="J30" i="5" s="1"/>
  <c r="K30" i="5" s="1"/>
  <c r="L30" i="5" s="1"/>
  <c r="M30" i="5" s="1"/>
  <c r="N30" i="5" s="1"/>
  <c r="O30" i="5" s="1"/>
  <c r="P30" i="5" s="1"/>
  <c r="Q30" i="5" s="1"/>
  <c r="R30" i="5" s="1"/>
  <c r="S30" i="5" s="1"/>
  <c r="F29" i="5"/>
  <c r="G29" i="5" s="1"/>
  <c r="H29" i="5" s="1"/>
  <c r="I29" i="5" s="1"/>
  <c r="J29" i="5" s="1"/>
  <c r="K29" i="5" s="1"/>
  <c r="L29" i="5" s="1"/>
  <c r="M29" i="5" s="1"/>
  <c r="N29" i="5" s="1"/>
  <c r="O29" i="5" s="1"/>
  <c r="P29" i="5" s="1"/>
  <c r="Q29" i="5" s="1"/>
  <c r="R29" i="5" s="1"/>
  <c r="S29" i="5" s="1"/>
  <c r="F28" i="5"/>
  <c r="G28" i="5" s="1"/>
  <c r="H28" i="5" s="1"/>
  <c r="I28" i="5" s="1"/>
  <c r="J28" i="5" s="1"/>
  <c r="K28" i="5" s="1"/>
  <c r="L28" i="5" s="1"/>
  <c r="M28" i="5" s="1"/>
  <c r="N28" i="5" s="1"/>
  <c r="O28" i="5" s="1"/>
  <c r="P28" i="5" s="1"/>
  <c r="Q28" i="5" s="1"/>
  <c r="R28" i="5" s="1"/>
  <c r="S28" i="5" s="1"/>
  <c r="F27" i="5"/>
  <c r="G27" i="5" s="1"/>
  <c r="H27" i="5" s="1"/>
  <c r="I27" i="5" s="1"/>
  <c r="J27" i="5" s="1"/>
  <c r="K27" i="5" s="1"/>
  <c r="L27" i="5" s="1"/>
  <c r="M27" i="5" s="1"/>
  <c r="N27" i="5" s="1"/>
  <c r="O27" i="5" s="1"/>
  <c r="P27" i="5" s="1"/>
  <c r="Q27" i="5" s="1"/>
  <c r="R27" i="5" s="1"/>
  <c r="S27" i="5" s="1"/>
  <c r="F26" i="5"/>
  <c r="G26" i="5" s="1"/>
  <c r="H26" i="5" s="1"/>
  <c r="I26" i="5" s="1"/>
  <c r="J26" i="5" s="1"/>
  <c r="K26" i="5" s="1"/>
  <c r="L26" i="5" s="1"/>
  <c r="M26" i="5" s="1"/>
  <c r="N26" i="5" s="1"/>
  <c r="O26" i="5" s="1"/>
  <c r="P26" i="5" s="1"/>
  <c r="Q26" i="5" s="1"/>
  <c r="R26" i="5" s="1"/>
  <c r="S26" i="5" s="1"/>
  <c r="F25" i="5"/>
  <c r="G25" i="5" s="1"/>
  <c r="H25" i="5" s="1"/>
  <c r="I25" i="5" s="1"/>
  <c r="J25" i="5" s="1"/>
  <c r="K25" i="5" s="1"/>
  <c r="L25" i="5" s="1"/>
  <c r="M25" i="5" s="1"/>
  <c r="N25" i="5" s="1"/>
  <c r="O25" i="5" s="1"/>
  <c r="P25" i="5" s="1"/>
  <c r="Q25" i="5" s="1"/>
  <c r="R25" i="5" s="1"/>
  <c r="S25" i="5" s="1"/>
  <c r="F24" i="5"/>
  <c r="G24" i="5" s="1"/>
  <c r="H24" i="5" s="1"/>
  <c r="I24" i="5" s="1"/>
  <c r="J24" i="5" s="1"/>
  <c r="K24" i="5" s="1"/>
  <c r="L24" i="5" s="1"/>
  <c r="M24" i="5" s="1"/>
  <c r="N24" i="5" s="1"/>
  <c r="O24" i="5" s="1"/>
  <c r="P24" i="5" s="1"/>
  <c r="Q24" i="5" s="1"/>
  <c r="R24" i="5" s="1"/>
  <c r="S24" i="5" s="1"/>
  <c r="D31" i="5" l="1"/>
  <c r="Q117" i="4" l="1"/>
  <c r="P118" i="4" s="1"/>
  <c r="O119" i="4" s="1"/>
  <c r="N120" i="4" s="1"/>
  <c r="M121" i="4" s="1"/>
  <c r="L122" i="4" s="1"/>
  <c r="K123" i="4" s="1"/>
  <c r="J124" i="4" s="1"/>
  <c r="I125" i="4" s="1"/>
  <c r="H126" i="4" s="1"/>
  <c r="G127" i="4" s="1"/>
  <c r="F128" i="4" s="1"/>
  <c r="Q118" i="4"/>
  <c r="Q119" i="4"/>
  <c r="P120" i="4" s="1"/>
  <c r="O121" i="4" s="1"/>
  <c r="N122" i="4" s="1"/>
  <c r="M123" i="4" s="1"/>
  <c r="L124" i="4" s="1"/>
  <c r="K125" i="4" s="1"/>
  <c r="J126" i="4" s="1"/>
  <c r="I127" i="4" s="1"/>
  <c r="H128" i="4" s="1"/>
  <c r="Q120" i="4"/>
  <c r="P121" i="4" s="1"/>
  <c r="O122" i="4" s="1"/>
  <c r="N123" i="4" s="1"/>
  <c r="M124" i="4" s="1"/>
  <c r="L125" i="4" s="1"/>
  <c r="K126" i="4" s="1"/>
  <c r="J127" i="4" s="1"/>
  <c r="I128" i="4" s="1"/>
  <c r="Q121" i="4"/>
  <c r="P122" i="4" s="1"/>
  <c r="O123" i="4" s="1"/>
  <c r="N124" i="4" s="1"/>
  <c r="M125" i="4" s="1"/>
  <c r="L126" i="4" s="1"/>
  <c r="K127" i="4" s="1"/>
  <c r="J128" i="4" s="1"/>
  <c r="Q122" i="4"/>
  <c r="P123" i="4" s="1"/>
  <c r="O124" i="4" s="1"/>
  <c r="N125" i="4" s="1"/>
  <c r="M126" i="4" s="1"/>
  <c r="L127" i="4" s="1"/>
  <c r="K128" i="4" s="1"/>
  <c r="Q123" i="4"/>
  <c r="P124" i="4" s="1"/>
  <c r="O125" i="4" s="1"/>
  <c r="N126" i="4" s="1"/>
  <c r="M127" i="4" s="1"/>
  <c r="L128" i="4" s="1"/>
  <c r="Q124" i="4"/>
  <c r="P125" i="4" s="1"/>
  <c r="O126" i="4" s="1"/>
  <c r="N127" i="4" s="1"/>
  <c r="M128" i="4" s="1"/>
  <c r="Q125" i="4"/>
  <c r="P126" i="4" s="1"/>
  <c r="O127" i="4" s="1"/>
  <c r="N128" i="4" s="1"/>
  <c r="Q126" i="4"/>
  <c r="Q127" i="4"/>
  <c r="P128" i="4" s="1"/>
  <c r="Q128" i="4"/>
  <c r="D102" i="4"/>
  <c r="D103" i="4" s="1"/>
  <c r="D104" i="4" s="1"/>
  <c r="D105" i="4" s="1"/>
  <c r="D99" i="4"/>
  <c r="D100" i="4"/>
  <c r="C99" i="4"/>
  <c r="C100" i="4"/>
  <c r="C98" i="4"/>
  <c r="E40" i="4"/>
  <c r="F40" i="4" s="1"/>
  <c r="F31" i="5"/>
  <c r="G31" i="5" s="1"/>
  <c r="H31" i="5" s="1"/>
  <c r="I31" i="5" s="1"/>
  <c r="J31" i="5" s="1"/>
  <c r="K31" i="5" s="1"/>
  <c r="L31" i="5" s="1"/>
  <c r="H16" i="5"/>
  <c r="I16" i="5" s="1"/>
  <c r="J16" i="5" s="1"/>
  <c r="U18" i="4"/>
  <c r="U22" i="4"/>
  <c r="C5" i="5"/>
  <c r="F17" i="4" s="1"/>
  <c r="C6" i="5"/>
  <c r="F18" i="4" s="1"/>
  <c r="C7" i="5"/>
  <c r="F19" i="4" s="1"/>
  <c r="C8" i="5"/>
  <c r="F20" i="4" s="1"/>
  <c r="C9" i="5"/>
  <c r="F21" i="4" s="1"/>
  <c r="C10" i="5"/>
  <c r="F22" i="4" s="1"/>
  <c r="C4" i="5"/>
  <c r="F16" i="4" s="1"/>
  <c r="C15" i="5"/>
  <c r="C16" i="5"/>
  <c r="C17" i="5"/>
  <c r="C18" i="5"/>
  <c r="C19" i="5"/>
  <c r="C20" i="5"/>
  <c r="C14" i="5"/>
  <c r="J3" i="5"/>
  <c r="K3" i="5" s="1"/>
  <c r="L3" i="5" s="1"/>
  <c r="M3" i="5" s="1"/>
  <c r="N3" i="5" s="1"/>
  <c r="O3" i="5" s="1"/>
  <c r="P3" i="5" s="1"/>
  <c r="Q3" i="5" s="1"/>
  <c r="R3" i="5" s="1"/>
  <c r="S3" i="5" s="1"/>
  <c r="H3" i="5"/>
  <c r="G3" i="5" s="1"/>
  <c r="F3" i="5" s="1"/>
  <c r="E3" i="5" s="1"/>
  <c r="J13" i="5"/>
  <c r="K13" i="5" s="1"/>
  <c r="L13" i="5" s="1"/>
  <c r="M13" i="5" s="1"/>
  <c r="N13" i="5" s="1"/>
  <c r="O13" i="5" s="1"/>
  <c r="P13" i="5" s="1"/>
  <c r="Q13" i="5" s="1"/>
  <c r="R13" i="5" s="1"/>
  <c r="S13" i="5" s="1"/>
  <c r="H13" i="5"/>
  <c r="G13" i="5" s="1"/>
  <c r="F13" i="5" s="1"/>
  <c r="E13" i="5" s="1"/>
  <c r="G6" i="5"/>
  <c r="J23" i="5"/>
  <c r="K23" i="5" s="1"/>
  <c r="L23" i="5" s="1"/>
  <c r="M23" i="5" s="1"/>
  <c r="N23" i="5" s="1"/>
  <c r="O23" i="5" s="1"/>
  <c r="P23" i="5" s="1"/>
  <c r="Q23" i="5" s="1"/>
  <c r="R23" i="5" s="1"/>
  <c r="S23" i="5" s="1"/>
  <c r="H23" i="5"/>
  <c r="G23" i="5" s="1"/>
  <c r="F23" i="5" s="1"/>
  <c r="E23" i="5" s="1"/>
  <c r="P127" i="4"/>
  <c r="O128" i="4" s="1"/>
  <c r="P119" i="4"/>
  <c r="O120" i="4" s="1"/>
  <c r="N121" i="4" s="1"/>
  <c r="M122" i="4" s="1"/>
  <c r="L123" i="4" s="1"/>
  <c r="K124" i="4" s="1"/>
  <c r="J125" i="4" s="1"/>
  <c r="I126" i="4" s="1"/>
  <c r="H127" i="4" s="1"/>
  <c r="G128" i="4" s="1"/>
  <c r="E77" i="4"/>
  <c r="F77" i="4" s="1"/>
  <c r="E45" i="4"/>
  <c r="E34" i="4"/>
  <c r="E6" i="5"/>
  <c r="F6" i="5"/>
  <c r="C69" i="4" l="1"/>
  <c r="C49" i="4"/>
  <c r="C134" i="4" s="1"/>
  <c r="C59" i="4"/>
  <c r="C72" i="4"/>
  <c r="C52" i="4"/>
  <c r="C137" i="4" s="1"/>
  <c r="C62" i="4"/>
  <c r="C68" i="4"/>
  <c r="C58" i="4"/>
  <c r="C48" i="4"/>
  <c r="C133" i="4" s="1"/>
  <c r="C71" i="4"/>
  <c r="C51" i="4"/>
  <c r="C136" i="4" s="1"/>
  <c r="C61" i="4"/>
  <c r="E37" i="4"/>
  <c r="E42" i="4"/>
  <c r="C73" i="4"/>
  <c r="C53" i="4"/>
  <c r="C138" i="4" s="1"/>
  <c r="C63" i="4"/>
  <c r="C67" i="4"/>
  <c r="C47" i="4"/>
  <c r="C132" i="4" s="1"/>
  <c r="C57" i="4"/>
  <c r="C70" i="4"/>
  <c r="C50" i="4"/>
  <c r="C135" i="4" s="1"/>
  <c r="C60" i="4"/>
  <c r="F45" i="4"/>
  <c r="F131" i="4" s="1"/>
  <c r="F141" i="4" s="1"/>
  <c r="E51" i="4"/>
  <c r="E136" i="4" s="1"/>
  <c r="E49" i="4"/>
  <c r="E134" i="4" s="1"/>
  <c r="E47" i="4"/>
  <c r="E48" i="4"/>
  <c r="E53" i="4"/>
  <c r="E50" i="4"/>
  <c r="E52" i="4"/>
  <c r="E137" i="4" s="1"/>
  <c r="E54" i="4"/>
  <c r="E131" i="4"/>
  <c r="E141" i="4" s="1"/>
  <c r="E135" i="4"/>
  <c r="E38" i="4"/>
  <c r="E59" i="4"/>
  <c r="E69" i="4" s="1"/>
  <c r="U24" i="4"/>
  <c r="D98" i="4" s="1"/>
  <c r="G45" i="4"/>
  <c r="E115" i="4"/>
  <c r="G77" i="4"/>
  <c r="G115" i="4" s="1"/>
  <c r="F115" i="4"/>
  <c r="F34" i="4"/>
  <c r="F42" i="4" s="1"/>
  <c r="E39" i="4"/>
  <c r="E36" i="4"/>
  <c r="H6" i="5"/>
  <c r="I6" i="5"/>
  <c r="E7" i="5"/>
  <c r="M31" i="5"/>
  <c r="E4" i="5"/>
  <c r="F4" i="5"/>
  <c r="K16" i="5"/>
  <c r="J6" i="5"/>
  <c r="E8" i="5"/>
  <c r="E10" i="5"/>
  <c r="G40" i="4"/>
  <c r="G48" i="4" l="1"/>
  <c r="G51" i="4"/>
  <c r="G53" i="4"/>
  <c r="G50" i="4"/>
  <c r="G52" i="4"/>
  <c r="G47" i="4"/>
  <c r="G49" i="4"/>
  <c r="G54" i="4"/>
  <c r="G139" i="4" s="1"/>
  <c r="F54" i="4"/>
  <c r="F47" i="4"/>
  <c r="F132" i="4" s="1"/>
  <c r="F48" i="4"/>
  <c r="F133" i="4" s="1"/>
  <c r="F53" i="4"/>
  <c r="F138" i="4" s="1"/>
  <c r="F50" i="4"/>
  <c r="F135" i="4" s="1"/>
  <c r="F52" i="4"/>
  <c r="F137" i="4" s="1"/>
  <c r="F51" i="4"/>
  <c r="F136" i="4" s="1"/>
  <c r="F49" i="4"/>
  <c r="F134" i="4" s="1"/>
  <c r="G133" i="4"/>
  <c r="E138" i="4"/>
  <c r="H77" i="4"/>
  <c r="I77" i="4" s="1"/>
  <c r="G138" i="4"/>
  <c r="G59" i="4"/>
  <c r="F59" i="4"/>
  <c r="E133" i="4"/>
  <c r="H45" i="4"/>
  <c r="G131" i="4"/>
  <c r="G141" i="4" s="1"/>
  <c r="G134" i="4"/>
  <c r="G136" i="4"/>
  <c r="G135" i="4"/>
  <c r="E41" i="4"/>
  <c r="E43" i="4" s="1"/>
  <c r="G137" i="4"/>
  <c r="G132" i="4"/>
  <c r="E132" i="4"/>
  <c r="F139" i="4"/>
  <c r="E139" i="4"/>
  <c r="F36" i="4"/>
  <c r="F37" i="4"/>
  <c r="F39" i="4"/>
  <c r="G34" i="4"/>
  <c r="G42" i="4" s="1"/>
  <c r="F38" i="4"/>
  <c r="G4" i="5"/>
  <c r="E57" i="4" s="1"/>
  <c r="F10" i="5"/>
  <c r="L16" i="5"/>
  <c r="K6" i="5"/>
  <c r="H115" i="4"/>
  <c r="H4" i="5"/>
  <c r="F57" i="4" s="1"/>
  <c r="N31" i="5"/>
  <c r="H40" i="4"/>
  <c r="I40" i="4" s="1"/>
  <c r="F8" i="5"/>
  <c r="F7" i="5"/>
  <c r="H59" i="4" l="1"/>
  <c r="H48" i="4"/>
  <c r="H47" i="4"/>
  <c r="H51" i="4"/>
  <c r="H136" i="4" s="1"/>
  <c r="H53" i="4"/>
  <c r="H138" i="4" s="1"/>
  <c r="H50" i="4"/>
  <c r="H52" i="4"/>
  <c r="H137" i="4" s="1"/>
  <c r="H49" i="4"/>
  <c r="H134" i="4" s="1"/>
  <c r="H54" i="4"/>
  <c r="F69" i="4"/>
  <c r="E67" i="4"/>
  <c r="H132" i="4"/>
  <c r="H139" i="4"/>
  <c r="F35" i="4"/>
  <c r="F41" i="4" s="1"/>
  <c r="H135" i="4"/>
  <c r="I45" i="4"/>
  <c r="I59" i="4" s="1"/>
  <c r="H131" i="4"/>
  <c r="H141" i="4" s="1"/>
  <c r="H133" i="4"/>
  <c r="G69" i="4"/>
  <c r="H34" i="4"/>
  <c r="H42" i="4" s="1"/>
  <c r="G37" i="4"/>
  <c r="G38" i="4"/>
  <c r="G36" i="4"/>
  <c r="G39" i="4"/>
  <c r="G10" i="5"/>
  <c r="E63" i="4" s="1"/>
  <c r="E73" i="4" s="1"/>
  <c r="J40" i="4"/>
  <c r="K40" i="4" s="1"/>
  <c r="F67" i="4"/>
  <c r="I4" i="5"/>
  <c r="G57" i="4" s="1"/>
  <c r="G7" i="5"/>
  <c r="E60" i="4" s="1"/>
  <c r="E70" i="4" s="1"/>
  <c r="O31" i="5"/>
  <c r="E11" i="5"/>
  <c r="G8" i="5"/>
  <c r="E61" i="4" s="1"/>
  <c r="E71" i="4" s="1"/>
  <c r="H10" i="5"/>
  <c r="F63" i="4" s="1"/>
  <c r="F73" i="4" s="1"/>
  <c r="E5" i="5"/>
  <c r="J77" i="4"/>
  <c r="I115" i="4"/>
  <c r="M16" i="5"/>
  <c r="L6" i="5"/>
  <c r="I47" i="4" l="1"/>
  <c r="I132" i="4" s="1"/>
  <c r="I52" i="4"/>
  <c r="I137" i="4" s="1"/>
  <c r="I50" i="4"/>
  <c r="I135" i="4" s="1"/>
  <c r="I53" i="4"/>
  <c r="I138" i="4" s="1"/>
  <c r="I51" i="4"/>
  <c r="I136" i="4" s="1"/>
  <c r="I49" i="4"/>
  <c r="I134" i="4" s="1"/>
  <c r="I54" i="4"/>
  <c r="I139" i="4" s="1"/>
  <c r="I48" i="4"/>
  <c r="I133" i="4" s="1"/>
  <c r="H69" i="4"/>
  <c r="J45" i="4"/>
  <c r="I131" i="4"/>
  <c r="I141" i="4" s="1"/>
  <c r="F43" i="4"/>
  <c r="G35" i="4"/>
  <c r="G41" i="4" s="1"/>
  <c r="H38" i="4"/>
  <c r="I34" i="4"/>
  <c r="I42" i="4" s="1"/>
  <c r="H39" i="4"/>
  <c r="H37" i="4"/>
  <c r="H36" i="4"/>
  <c r="N16" i="5"/>
  <c r="M6" i="5"/>
  <c r="F11" i="5"/>
  <c r="J115" i="4"/>
  <c r="K77" i="4"/>
  <c r="I10" i="5"/>
  <c r="G63" i="4" s="1"/>
  <c r="G73" i="4" s="1"/>
  <c r="H8" i="5"/>
  <c r="F61" i="4" s="1"/>
  <c r="F71" i="4" s="1"/>
  <c r="L40" i="4"/>
  <c r="M40" i="4" s="1"/>
  <c r="J4" i="5"/>
  <c r="H57" i="4" s="1"/>
  <c r="F5" i="5"/>
  <c r="H7" i="5"/>
  <c r="F60" i="4" s="1"/>
  <c r="F70" i="4" s="1"/>
  <c r="P31" i="5"/>
  <c r="G67" i="4"/>
  <c r="J52" i="4" l="1"/>
  <c r="J54" i="4"/>
  <c r="J139" i="4" s="1"/>
  <c r="J51" i="4"/>
  <c r="J47" i="4"/>
  <c r="J132" i="4" s="1"/>
  <c r="J49" i="4"/>
  <c r="J48" i="4"/>
  <c r="J133" i="4" s="1"/>
  <c r="J53" i="4"/>
  <c r="J50" i="4"/>
  <c r="J135" i="4" s="1"/>
  <c r="I69" i="4"/>
  <c r="J137" i="4"/>
  <c r="J136" i="4"/>
  <c r="J138" i="4"/>
  <c r="K45" i="4"/>
  <c r="J134" i="4"/>
  <c r="J131" i="4"/>
  <c r="J141" i="4" s="1"/>
  <c r="K59" i="4"/>
  <c r="J59" i="4"/>
  <c r="J69" i="4" s="1"/>
  <c r="G43" i="4"/>
  <c r="H35" i="4"/>
  <c r="H41" i="4" s="1"/>
  <c r="I38" i="4"/>
  <c r="I36" i="4"/>
  <c r="J34" i="4"/>
  <c r="J42" i="4" s="1"/>
  <c r="I37" i="4"/>
  <c r="I39" i="4"/>
  <c r="N40" i="4"/>
  <c r="O40" i="4" s="1"/>
  <c r="P40" i="4" s="1"/>
  <c r="K115" i="4"/>
  <c r="L77" i="4"/>
  <c r="O16" i="5"/>
  <c r="N6" i="5"/>
  <c r="Q31" i="5"/>
  <c r="G5" i="5"/>
  <c r="E58" i="4" s="1"/>
  <c r="K4" i="5"/>
  <c r="I57" i="4" s="1"/>
  <c r="G11" i="5"/>
  <c r="E64" i="4" s="1"/>
  <c r="E74" i="4" s="1"/>
  <c r="I8" i="5"/>
  <c r="G61" i="4" s="1"/>
  <c r="G71" i="4" s="1"/>
  <c r="H67" i="4"/>
  <c r="I7" i="5"/>
  <c r="G60" i="4" s="1"/>
  <c r="G70" i="4" s="1"/>
  <c r="J10" i="5"/>
  <c r="H63" i="4" s="1"/>
  <c r="H73" i="4" s="1"/>
  <c r="K52" i="4" l="1"/>
  <c r="K47" i="4"/>
  <c r="K132" i="4" s="1"/>
  <c r="K50" i="4"/>
  <c r="K135" i="4" s="1"/>
  <c r="K51" i="4"/>
  <c r="K136" i="4" s="1"/>
  <c r="K48" i="4"/>
  <c r="K49" i="4"/>
  <c r="K54" i="4"/>
  <c r="K139" i="4" s="1"/>
  <c r="K53" i="4"/>
  <c r="K138" i="4" s="1"/>
  <c r="K133" i="4"/>
  <c r="K137" i="4"/>
  <c r="L45" i="4"/>
  <c r="K131" i="4"/>
  <c r="K141" i="4" s="1"/>
  <c r="J37" i="4"/>
  <c r="J36" i="4"/>
  <c r="J39" i="4"/>
  <c r="K34" i="4"/>
  <c r="K42" i="4" s="1"/>
  <c r="J38" i="4"/>
  <c r="Q40" i="4"/>
  <c r="I35" i="4"/>
  <c r="I41" i="4" s="1"/>
  <c r="H43" i="4"/>
  <c r="J8" i="5"/>
  <c r="H61" i="4" s="1"/>
  <c r="H71" i="4" s="1"/>
  <c r="E68" i="4"/>
  <c r="K10" i="5"/>
  <c r="I63" i="4" s="1"/>
  <c r="I73" i="4" s="1"/>
  <c r="H5" i="5"/>
  <c r="F58" i="4" s="1"/>
  <c r="L4" i="5"/>
  <c r="J57" i="4" s="1"/>
  <c r="R31" i="5"/>
  <c r="M77" i="4"/>
  <c r="L115" i="4"/>
  <c r="J7" i="5"/>
  <c r="H60" i="4" s="1"/>
  <c r="H70" i="4" s="1"/>
  <c r="H11" i="5"/>
  <c r="F64" i="4" s="1"/>
  <c r="F74" i="4" s="1"/>
  <c r="I67" i="4"/>
  <c r="P16" i="5"/>
  <c r="O6" i="5"/>
  <c r="L59" i="4" l="1"/>
  <c r="L51" i="4"/>
  <c r="L53" i="4"/>
  <c r="L138" i="4" s="1"/>
  <c r="L50" i="4"/>
  <c r="L135" i="4" s="1"/>
  <c r="L49" i="4"/>
  <c r="L134" i="4" s="1"/>
  <c r="L54" i="4"/>
  <c r="L48" i="4"/>
  <c r="L133" i="4" s="1"/>
  <c r="L47" i="4"/>
  <c r="L132" i="4" s="1"/>
  <c r="L52" i="4"/>
  <c r="L137" i="4" s="1"/>
  <c r="K134" i="4"/>
  <c r="K69" i="4"/>
  <c r="M45" i="4"/>
  <c r="L136" i="4"/>
  <c r="L131" i="4"/>
  <c r="L141" i="4" s="1"/>
  <c r="L139" i="4"/>
  <c r="J35" i="4"/>
  <c r="J41" i="4" s="1"/>
  <c r="I43" i="4"/>
  <c r="L34" i="4"/>
  <c r="L42" i="4" s="1"/>
  <c r="K38" i="4"/>
  <c r="K39" i="4"/>
  <c r="K37" i="4"/>
  <c r="K36" i="4"/>
  <c r="K7" i="5"/>
  <c r="I60" i="4" s="1"/>
  <c r="I70" i="4" s="1"/>
  <c r="F68" i="4"/>
  <c r="S31" i="5"/>
  <c r="I5" i="5"/>
  <c r="G58" i="4" s="1"/>
  <c r="M4" i="5"/>
  <c r="K57" i="4" s="1"/>
  <c r="Q16" i="5"/>
  <c r="P6" i="5"/>
  <c r="I11" i="5"/>
  <c r="G64" i="4" s="1"/>
  <c r="G74" i="4" s="1"/>
  <c r="M115" i="4"/>
  <c r="N77" i="4"/>
  <c r="J67" i="4"/>
  <c r="L10" i="5"/>
  <c r="J63" i="4" s="1"/>
  <c r="J73" i="4" s="1"/>
  <c r="K8" i="5"/>
  <c r="I61" i="4" s="1"/>
  <c r="I71" i="4" s="1"/>
  <c r="M59" i="4" l="1"/>
  <c r="M54" i="4"/>
  <c r="M139" i="4" s="1"/>
  <c r="M51" i="4"/>
  <c r="M136" i="4" s="1"/>
  <c r="M49" i="4"/>
  <c r="M134" i="4" s="1"/>
  <c r="M53" i="4"/>
  <c r="M138" i="4" s="1"/>
  <c r="M50" i="4"/>
  <c r="M135" i="4" s="1"/>
  <c r="M48" i="4"/>
  <c r="M47" i="4"/>
  <c r="M132" i="4" s="1"/>
  <c r="M52" i="4"/>
  <c r="M137" i="4" s="1"/>
  <c r="N45" i="4"/>
  <c r="M133" i="4"/>
  <c r="M131" i="4"/>
  <c r="M141" i="4" s="1"/>
  <c r="L69" i="4"/>
  <c r="K35" i="4"/>
  <c r="K41" i="4" s="1"/>
  <c r="J43" i="4"/>
  <c r="M34" i="4"/>
  <c r="M42" i="4" s="1"/>
  <c r="L36" i="4"/>
  <c r="L37" i="4"/>
  <c r="L38" i="4"/>
  <c r="L39" i="4"/>
  <c r="J11" i="5"/>
  <c r="H64" i="4" s="1"/>
  <c r="H74" i="4" s="1"/>
  <c r="L7" i="5"/>
  <c r="J60" i="4" s="1"/>
  <c r="J70" i="4" s="1"/>
  <c r="G68" i="4"/>
  <c r="O77" i="4"/>
  <c r="N115" i="4"/>
  <c r="J5" i="5"/>
  <c r="H58" i="4" s="1"/>
  <c r="L8" i="5"/>
  <c r="J61" i="4" s="1"/>
  <c r="J71" i="4" s="1"/>
  <c r="N4" i="5"/>
  <c r="L57" i="4" s="1"/>
  <c r="M10" i="5"/>
  <c r="K63" i="4" s="1"/>
  <c r="K73" i="4" s="1"/>
  <c r="R16" i="5"/>
  <c r="Q6" i="5"/>
  <c r="K67" i="4"/>
  <c r="N59" i="4" l="1"/>
  <c r="N49" i="4"/>
  <c r="N48" i="4"/>
  <c r="N133" i="4" s="1"/>
  <c r="N53" i="4"/>
  <c r="N138" i="4" s="1"/>
  <c r="N51" i="4"/>
  <c r="N136" i="4" s="1"/>
  <c r="N50" i="4"/>
  <c r="N47" i="4"/>
  <c r="N52" i="4"/>
  <c r="N137" i="4" s="1"/>
  <c r="N54" i="4"/>
  <c r="N139" i="4" s="1"/>
  <c r="N134" i="4"/>
  <c r="N132" i="4"/>
  <c r="N135" i="4"/>
  <c r="N131" i="4"/>
  <c r="N141" i="4" s="1"/>
  <c r="O45" i="4"/>
  <c r="M69" i="4"/>
  <c r="M38" i="4"/>
  <c r="M36" i="4"/>
  <c r="M39" i="4"/>
  <c r="M37" i="4"/>
  <c r="N34" i="4"/>
  <c r="N42" i="4" s="1"/>
  <c r="K43" i="4"/>
  <c r="L35" i="4"/>
  <c r="L41" i="4" s="1"/>
  <c r="S16" i="5"/>
  <c r="S6" i="5" s="1"/>
  <c r="R6" i="5"/>
  <c r="N10" i="5"/>
  <c r="L63" i="4" s="1"/>
  <c r="L73" i="4" s="1"/>
  <c r="O4" i="5"/>
  <c r="M57" i="4" s="1"/>
  <c r="H68" i="4"/>
  <c r="P77" i="4"/>
  <c r="O115" i="4"/>
  <c r="L67" i="4"/>
  <c r="M8" i="5"/>
  <c r="K61" i="4" s="1"/>
  <c r="K71" i="4" s="1"/>
  <c r="K5" i="5"/>
  <c r="I58" i="4" s="1"/>
  <c r="M7" i="5"/>
  <c r="K60" i="4" s="1"/>
  <c r="K70" i="4" s="1"/>
  <c r="K11" i="5"/>
  <c r="I64" i="4" s="1"/>
  <c r="I74" i="4" s="1"/>
  <c r="O52" i="4" l="1"/>
  <c r="O50" i="4"/>
  <c r="O135" i="4" s="1"/>
  <c r="O51" i="4"/>
  <c r="O136" i="4" s="1"/>
  <c r="O48" i="4"/>
  <c r="O133" i="4" s="1"/>
  <c r="O49" i="4"/>
  <c r="O54" i="4"/>
  <c r="O139" i="4" s="1"/>
  <c r="O53" i="4"/>
  <c r="O138" i="4" s="1"/>
  <c r="O47" i="4"/>
  <c r="O132" i="4" s="1"/>
  <c r="O131" i="4"/>
  <c r="O141" i="4" s="1"/>
  <c r="P45" i="4"/>
  <c r="O134" i="4"/>
  <c r="O137" i="4"/>
  <c r="O59" i="4"/>
  <c r="N69" i="4"/>
  <c r="N38" i="4"/>
  <c r="N39" i="4"/>
  <c r="N37" i="4"/>
  <c r="O34" i="4"/>
  <c r="O42" i="4" s="1"/>
  <c r="N36" i="4"/>
  <c r="M35" i="4"/>
  <c r="M41" i="4" s="1"/>
  <c r="L43" i="4"/>
  <c r="I68" i="4"/>
  <c r="N7" i="5"/>
  <c r="L60" i="4" s="1"/>
  <c r="L70" i="4" s="1"/>
  <c r="L5" i="5"/>
  <c r="J58" i="4" s="1"/>
  <c r="P4" i="5"/>
  <c r="N57" i="4" s="1"/>
  <c r="O10" i="5"/>
  <c r="M63" i="4" s="1"/>
  <c r="M73" i="4" s="1"/>
  <c r="N8" i="5"/>
  <c r="L61" i="4" s="1"/>
  <c r="L71" i="4" s="1"/>
  <c r="L11" i="5"/>
  <c r="J64" i="4" s="1"/>
  <c r="J74" i="4" s="1"/>
  <c r="P115" i="4"/>
  <c r="Q77" i="4"/>
  <c r="Q115" i="4" s="1"/>
  <c r="M67" i="4"/>
  <c r="P50" i="4" l="1"/>
  <c r="P49" i="4"/>
  <c r="P54" i="4"/>
  <c r="P139" i="4" s="1"/>
  <c r="P48" i="4"/>
  <c r="P133" i="4" s="1"/>
  <c r="P47" i="4"/>
  <c r="P132" i="4" s="1"/>
  <c r="P52" i="4"/>
  <c r="P137" i="4" s="1"/>
  <c r="P53" i="4"/>
  <c r="P138" i="4" s="1"/>
  <c r="P51" i="4"/>
  <c r="P136" i="4" s="1"/>
  <c r="O69" i="4"/>
  <c r="P135" i="4"/>
  <c r="Q45" i="4"/>
  <c r="P131" i="4"/>
  <c r="P141" i="4" s="1"/>
  <c r="P134" i="4"/>
  <c r="P59" i="4"/>
  <c r="P34" i="4"/>
  <c r="P42" i="4" s="1"/>
  <c r="O38" i="4"/>
  <c r="O36" i="4"/>
  <c r="O37" i="4"/>
  <c r="O39" i="4"/>
  <c r="N35" i="4"/>
  <c r="N41" i="4" s="1"/>
  <c r="M43" i="4"/>
  <c r="O8" i="5"/>
  <c r="M61" i="4" s="1"/>
  <c r="M71" i="4" s="1"/>
  <c r="P10" i="5"/>
  <c r="N63" i="4" s="1"/>
  <c r="N73" i="4" s="1"/>
  <c r="O7" i="5"/>
  <c r="M60" i="4" s="1"/>
  <c r="M70" i="4" s="1"/>
  <c r="Q4" i="5"/>
  <c r="O57" i="4" s="1"/>
  <c r="M5" i="5"/>
  <c r="K58" i="4" s="1"/>
  <c r="M11" i="5"/>
  <c r="K64" i="4" s="1"/>
  <c r="K74" i="4" s="1"/>
  <c r="N67" i="4"/>
  <c r="J68" i="4"/>
  <c r="Q50" i="4" l="1"/>
  <c r="Q54" i="4"/>
  <c r="Q139" i="4" s="1"/>
  <c r="Q53" i="4"/>
  <c r="Q138" i="4" s="1"/>
  <c r="Q48" i="4"/>
  <c r="Q133" i="4" s="1"/>
  <c r="Q47" i="4"/>
  <c r="Q52" i="4"/>
  <c r="Q51" i="4"/>
  <c r="Q136" i="4" s="1"/>
  <c r="Q49" i="4"/>
  <c r="Q134" i="4" s="1"/>
  <c r="P69" i="4"/>
  <c r="Q131" i="4"/>
  <c r="Q141" i="4" s="1"/>
  <c r="Q135" i="4"/>
  <c r="Q132" i="4"/>
  <c r="Q59" i="4"/>
  <c r="Q137" i="4"/>
  <c r="N43" i="4"/>
  <c r="O35" i="4"/>
  <c r="O41" i="4" s="1"/>
  <c r="P39" i="4"/>
  <c r="P37" i="4"/>
  <c r="P36" i="4"/>
  <c r="Q34" i="4"/>
  <c r="Q42" i="4" s="1"/>
  <c r="P38" i="4"/>
  <c r="N11" i="5"/>
  <c r="L64" i="4" s="1"/>
  <c r="L74" i="4" s="1"/>
  <c r="K68" i="4"/>
  <c r="P8" i="5"/>
  <c r="N61" i="4" s="1"/>
  <c r="N71" i="4" s="1"/>
  <c r="N5" i="5"/>
  <c r="L58" i="4" s="1"/>
  <c r="P7" i="5"/>
  <c r="N60" i="4" s="1"/>
  <c r="N70" i="4" s="1"/>
  <c r="O67" i="4"/>
  <c r="Q10" i="5"/>
  <c r="O63" i="4" s="1"/>
  <c r="O73" i="4" s="1"/>
  <c r="S4" i="5"/>
  <c r="Q57" i="4" s="1"/>
  <c r="D59" i="4" l="1"/>
  <c r="Q69" i="4"/>
  <c r="D69" i="4" s="1"/>
  <c r="O43" i="4"/>
  <c r="P35" i="4"/>
  <c r="P41" i="4" s="1"/>
  <c r="Q38" i="4"/>
  <c r="Q39" i="4"/>
  <c r="Q37" i="4"/>
  <c r="Q36" i="4"/>
  <c r="R4" i="5"/>
  <c r="P57" i="4" s="1"/>
  <c r="Q7" i="5"/>
  <c r="O60" i="4" s="1"/>
  <c r="O70" i="4" s="1"/>
  <c r="Q8" i="5"/>
  <c r="O61" i="4" s="1"/>
  <c r="O71" i="4" s="1"/>
  <c r="Q67" i="4"/>
  <c r="D57" i="4"/>
  <c r="L68" i="4"/>
  <c r="O11" i="5"/>
  <c r="M64" i="4" s="1"/>
  <c r="M74" i="4" s="1"/>
  <c r="O5" i="5"/>
  <c r="M58" i="4" s="1"/>
  <c r="P43" i="4" l="1"/>
  <c r="Q35" i="4"/>
  <c r="Q41" i="4" s="1"/>
  <c r="Q43" i="4" s="1"/>
  <c r="P5" i="5"/>
  <c r="N58" i="4" s="1"/>
  <c r="S7" i="5"/>
  <c r="Q60" i="4" s="1"/>
  <c r="R7" i="5"/>
  <c r="P60" i="4" s="1"/>
  <c r="P70" i="4" s="1"/>
  <c r="P67" i="4"/>
  <c r="P11" i="5"/>
  <c r="N64" i="4" s="1"/>
  <c r="N74" i="4" s="1"/>
  <c r="S8" i="5"/>
  <c r="Q61" i="4" s="1"/>
  <c r="R8" i="5"/>
  <c r="P61" i="4" s="1"/>
  <c r="P71" i="4" s="1"/>
  <c r="S10" i="5"/>
  <c r="Q63" i="4" s="1"/>
  <c r="M68" i="4"/>
  <c r="D67" i="4"/>
  <c r="R10" i="5"/>
  <c r="P63" i="4" s="1"/>
  <c r="P73" i="4" s="1"/>
  <c r="N68" i="4" l="1"/>
  <c r="D61" i="4"/>
  <c r="Q71" i="4"/>
  <c r="D71" i="4" s="1"/>
  <c r="D63" i="4"/>
  <c r="Q73" i="4"/>
  <c r="D73" i="4" s="1"/>
  <c r="Q11" i="5"/>
  <c r="O64" i="4" s="1"/>
  <c r="O74" i="4" s="1"/>
  <c r="D60" i="4"/>
  <c r="Q70" i="4"/>
  <c r="D70" i="4" s="1"/>
  <c r="Q5" i="5"/>
  <c r="O58" i="4" s="1"/>
  <c r="S5" i="5" l="1"/>
  <c r="Q58" i="4" s="1"/>
  <c r="R5" i="5"/>
  <c r="P58" i="4" s="1"/>
  <c r="S11" i="5"/>
  <c r="Q64" i="4" s="1"/>
  <c r="R11" i="5"/>
  <c r="P64" i="4" s="1"/>
  <c r="P74" i="4" s="1"/>
  <c r="O68" i="4"/>
  <c r="P68" i="4" l="1"/>
  <c r="Q74" i="4"/>
  <c r="D74" i="4" s="1"/>
  <c r="D64" i="4"/>
  <c r="D58" i="4"/>
  <c r="Q68" i="4"/>
  <c r="D68" i="4" l="1"/>
  <c r="E9" i="5" l="1"/>
  <c r="F9" i="5"/>
  <c r="G9" i="5"/>
  <c r="E62" i="4" s="1"/>
  <c r="H9" i="5"/>
  <c r="F62" i="4" s="1"/>
  <c r="I9" i="5"/>
  <c r="G62" i="4" s="1"/>
  <c r="G65" i="4" s="1"/>
  <c r="J9" i="5"/>
  <c r="H62" i="4" s="1"/>
  <c r="K9" i="5"/>
  <c r="I62" i="4" s="1"/>
  <c r="L9" i="5"/>
  <c r="J62" i="4" s="1"/>
  <c r="M9" i="5"/>
  <c r="K62" i="4" s="1"/>
  <c r="N9" i="5"/>
  <c r="L62" i="4" s="1"/>
  <c r="O9" i="5"/>
  <c r="M62" i="4" s="1"/>
  <c r="P9" i="5"/>
  <c r="N62" i="4" s="1"/>
  <c r="Q9" i="5"/>
  <c r="O62" i="4" s="1"/>
  <c r="O65" i="4" s="1"/>
  <c r="R9" i="5"/>
  <c r="P62" i="4" s="1"/>
  <c r="S9" i="5"/>
  <c r="Q62" i="4" s="1"/>
  <c r="K65" i="4" l="1"/>
  <c r="K72" i="4"/>
  <c r="K75" i="4" s="1"/>
  <c r="K79" i="4" s="1"/>
  <c r="G72" i="4"/>
  <c r="G75" i="4" s="1"/>
  <c r="G79" i="4" s="1"/>
  <c r="I72" i="4"/>
  <c r="I75" i="4" s="1"/>
  <c r="I79" i="4" s="1"/>
  <c r="I65" i="4"/>
  <c r="P72" i="4"/>
  <c r="P75" i="4" s="1"/>
  <c r="P79" i="4" s="1"/>
  <c r="P65" i="4"/>
  <c r="L72" i="4"/>
  <c r="L75" i="4" s="1"/>
  <c r="L79" i="4" s="1"/>
  <c r="L65" i="4"/>
  <c r="D62" i="4"/>
  <c r="Q72" i="4"/>
  <c r="Q65" i="4"/>
  <c r="M72" i="4"/>
  <c r="M75" i="4" s="1"/>
  <c r="M79" i="4" s="1"/>
  <c r="M65" i="4"/>
  <c r="E72" i="4"/>
  <c r="E75" i="4" s="1"/>
  <c r="E65" i="4"/>
  <c r="H72" i="4"/>
  <c r="H75" i="4" s="1"/>
  <c r="H79" i="4" s="1"/>
  <c r="H65" i="4"/>
  <c r="N65" i="4"/>
  <c r="N72" i="4"/>
  <c r="N75" i="4" s="1"/>
  <c r="N79" i="4" s="1"/>
  <c r="J65" i="4"/>
  <c r="J72" i="4"/>
  <c r="J75" i="4" s="1"/>
  <c r="J79" i="4" s="1"/>
  <c r="F65" i="4"/>
  <c r="F72" i="4"/>
  <c r="F75" i="4" s="1"/>
  <c r="F79" i="4" s="1"/>
  <c r="O72" i="4"/>
  <c r="O75" i="4" s="1"/>
  <c r="O79" i="4" s="1"/>
  <c r="E79" i="4" l="1"/>
  <c r="E80" i="4" s="1"/>
  <c r="I80" i="4"/>
  <c r="G80" i="4"/>
  <c r="L80" i="4"/>
  <c r="K80" i="4"/>
  <c r="N80" i="4"/>
  <c r="J80" i="4"/>
  <c r="P80" i="4"/>
  <c r="O80" i="4"/>
  <c r="H80" i="4"/>
  <c r="M80" i="4"/>
  <c r="F80" i="4"/>
  <c r="K116" i="4"/>
  <c r="J117" i="4" s="1"/>
  <c r="I118" i="4" s="1"/>
  <c r="H119" i="4" s="1"/>
  <c r="G120" i="4" s="1"/>
  <c r="F121" i="4" s="1"/>
  <c r="E122" i="4" s="1"/>
  <c r="D72" i="4"/>
  <c r="Q75" i="4"/>
  <c r="D65" i="4"/>
  <c r="E89" i="4" l="1"/>
  <c r="E91" i="4" s="1"/>
  <c r="E92" i="4" s="1"/>
  <c r="P81" i="4"/>
  <c r="O81" i="4"/>
  <c r="L83" i="4"/>
  <c r="L81" i="4"/>
  <c r="M83" i="4"/>
  <c r="M81" i="4"/>
  <c r="J116" i="4"/>
  <c r="I117" i="4" s="1"/>
  <c r="H118" i="4" s="1"/>
  <c r="G119" i="4" s="1"/>
  <c r="F120" i="4" s="1"/>
  <c r="E121" i="4" s="1"/>
  <c r="J81" i="4"/>
  <c r="G83" i="4"/>
  <c r="G81" i="4"/>
  <c r="H116" i="4"/>
  <c r="G117" i="4" s="1"/>
  <c r="H81" i="4"/>
  <c r="N81" i="4"/>
  <c r="I83" i="4"/>
  <c r="I81" i="4"/>
  <c r="K83" i="4"/>
  <c r="K81" i="4"/>
  <c r="F116" i="4"/>
  <c r="E117" i="4" s="1"/>
  <c r="F81" i="4"/>
  <c r="P83" i="4"/>
  <c r="O83" i="4"/>
  <c r="N116" i="4"/>
  <c r="M117" i="4" s="1"/>
  <c r="L118" i="4" s="1"/>
  <c r="K119" i="4" s="1"/>
  <c r="J120" i="4" s="1"/>
  <c r="I121" i="4" s="1"/>
  <c r="H122" i="4" s="1"/>
  <c r="G123" i="4" s="1"/>
  <c r="F124" i="4" s="1"/>
  <c r="E125" i="4" s="1"/>
  <c r="L116" i="4"/>
  <c r="K117" i="4" s="1"/>
  <c r="I116" i="4"/>
  <c r="H117" i="4" s="1"/>
  <c r="G118" i="4" s="1"/>
  <c r="F119" i="4" s="1"/>
  <c r="E120" i="4" s="1"/>
  <c r="H83" i="4"/>
  <c r="G116" i="4"/>
  <c r="F117" i="4" s="1"/>
  <c r="E118" i="4" s="1"/>
  <c r="P116" i="4"/>
  <c r="O117" i="4" s="1"/>
  <c r="N118" i="4" s="1"/>
  <c r="M119" i="4" s="1"/>
  <c r="L120" i="4" s="1"/>
  <c r="K121" i="4" s="1"/>
  <c r="J122" i="4" s="1"/>
  <c r="I123" i="4" s="1"/>
  <c r="H124" i="4" s="1"/>
  <c r="G125" i="4" s="1"/>
  <c r="F126" i="4" s="1"/>
  <c r="E127" i="4" s="1"/>
  <c r="Q79" i="4"/>
  <c r="Q80" i="4" s="1"/>
  <c r="Q81" i="4" s="1"/>
  <c r="E116" i="4"/>
  <c r="E83" i="4"/>
  <c r="F83" i="4"/>
  <c r="N83" i="4"/>
  <c r="O116" i="4"/>
  <c r="N117" i="4" s="1"/>
  <c r="M118" i="4" s="1"/>
  <c r="L119" i="4" s="1"/>
  <c r="K120" i="4" s="1"/>
  <c r="J121" i="4" s="1"/>
  <c r="I122" i="4" s="1"/>
  <c r="H123" i="4" s="1"/>
  <c r="G124" i="4" s="1"/>
  <c r="F125" i="4" s="1"/>
  <c r="E126" i="4" s="1"/>
  <c r="J83" i="4"/>
  <c r="M116" i="4"/>
  <c r="L117" i="4" s="1"/>
  <c r="K118" i="4" s="1"/>
  <c r="J119" i="4" s="1"/>
  <c r="I120" i="4" s="1"/>
  <c r="H121" i="4" s="1"/>
  <c r="G122" i="4" s="1"/>
  <c r="F123" i="4" s="1"/>
  <c r="E124" i="4" s="1"/>
  <c r="D75" i="4"/>
  <c r="E85" i="4" l="1"/>
  <c r="E86" i="4" s="1"/>
  <c r="J118" i="4"/>
  <c r="F118" i="4"/>
  <c r="Q116" i="4"/>
  <c r="Q83" i="4"/>
  <c r="E87" i="4" l="1"/>
  <c r="E97" i="4" s="1"/>
  <c r="E119" i="4"/>
  <c r="P117" i="4"/>
  <c r="Q129" i="4"/>
  <c r="I119" i="4"/>
  <c r="H120" i="4" l="1"/>
  <c r="O118" i="4"/>
  <c r="P129" i="4"/>
  <c r="N119" i="4" l="1"/>
  <c r="O129" i="4"/>
  <c r="G121" i="4"/>
  <c r="F122" i="4" l="1"/>
  <c r="M120" i="4"/>
  <c r="N129" i="4"/>
  <c r="L121" i="4" l="1"/>
  <c r="M129" i="4"/>
  <c r="E123" i="4"/>
  <c r="K122" i="4" l="1"/>
  <c r="L129" i="4"/>
  <c r="J123" i="4" l="1"/>
  <c r="K129" i="4"/>
  <c r="I124" i="4" l="1"/>
  <c r="J129" i="4"/>
  <c r="H125" i="4" l="1"/>
  <c r="I129" i="4"/>
  <c r="G126" i="4" l="1"/>
  <c r="H129" i="4"/>
  <c r="F127" i="4" l="1"/>
  <c r="G129" i="4"/>
  <c r="E128" i="4" l="1"/>
  <c r="E129" i="4" s="1"/>
  <c r="F1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 Alie</author>
  </authors>
  <commentList>
    <comment ref="F15" authorId="0" shapeId="0" xr:uid="{C93A5E87-00E1-493C-9B8E-1C010E4E728F}">
      <text>
        <r>
          <rPr>
            <sz val="9"/>
            <color rgb="FF000000"/>
            <rFont val="Tahoma"/>
            <family val="2"/>
          </rPr>
          <t>https://en.wikipedia.org/wiki/Logistic_function</t>
        </r>
      </text>
    </comment>
  </commentList>
</comments>
</file>

<file path=xl/sharedStrings.xml><?xml version="1.0" encoding="utf-8"?>
<sst xmlns="http://schemas.openxmlformats.org/spreadsheetml/2006/main" count="121" uniqueCount="114">
  <si>
    <t>References</t>
  </si>
  <si>
    <t>Velocity References</t>
  </si>
  <si>
    <t>Float Variables</t>
  </si>
  <si>
    <t>Velocity</t>
  </si>
  <si>
    <t>Bitcoin avg. daily transactions ($)</t>
  </si>
  <si>
    <t>Assumption</t>
  </si>
  <si>
    <t>Days</t>
  </si>
  <si>
    <t>Total supply</t>
  </si>
  <si>
    <t>Max adoption (%)</t>
  </si>
  <si>
    <t>Annual Bitcoin Transactions ($)</t>
  </si>
  <si>
    <t>Private sale (%)</t>
  </si>
  <si>
    <t>50% of max share year</t>
  </si>
  <si>
    <t>Discount rate</t>
  </si>
  <si>
    <t>Private Sale vesting window (years)</t>
  </si>
  <si>
    <t>x%</t>
  </si>
  <si>
    <t>Avg. Bitcoin Value ($)</t>
  </si>
  <si>
    <t>ICO sale (%)</t>
  </si>
  <si>
    <t>x% of max share year</t>
  </si>
  <si>
    <t>Total Bitcoin Supply</t>
  </si>
  <si>
    <t>ICO vesting window (years)</t>
  </si>
  <si>
    <t>Avg. Bitcoin Market Cap ($)</t>
  </si>
  <si>
    <t>Secondary sale (%)</t>
  </si>
  <si>
    <t>Equation of Exchange:</t>
  </si>
  <si>
    <t>Secondary sale vesting window (years)</t>
  </si>
  <si>
    <t>L</t>
  </si>
  <si>
    <t>Bitcoin Velocity</t>
  </si>
  <si>
    <t>Founders stake (%)</t>
  </si>
  <si>
    <t>x_0</t>
  </si>
  <si>
    <t>US M1 Velocity - Current</t>
  </si>
  <si>
    <t>Founders vesting window (years)</t>
  </si>
  <si>
    <t>lambda</t>
  </si>
  <si>
    <t>M</t>
  </si>
  <si>
    <t>Monetary base</t>
  </si>
  <si>
    <t>US M1 Velocity - Peak</t>
  </si>
  <si>
    <t>Staked tokens (%)</t>
  </si>
  <si>
    <t>k</t>
  </si>
  <si>
    <t>P</t>
  </si>
  <si>
    <t>Price of network service</t>
  </si>
  <si>
    <t>Stake decay (%/year)</t>
  </si>
  <si>
    <t>Q</t>
  </si>
  <si>
    <t>Quantity of network service</t>
  </si>
  <si>
    <t>https://www.blockchain.com/charts/estimated-transaction-volume-usd</t>
  </si>
  <si>
    <t>Base Year</t>
  </si>
  <si>
    <t>V</t>
  </si>
  <si>
    <t>Monetary velocity</t>
  </si>
  <si>
    <t>https://fred.stlouisfed.org/series/M1V</t>
  </si>
  <si>
    <t>Inflation</t>
  </si>
  <si>
    <t>(P x Q)</t>
  </si>
  <si>
    <t>Total addressable market</t>
  </si>
  <si>
    <t>Open Float Outstanding Schedule</t>
  </si>
  <si>
    <t>Initial circulating supply</t>
  </si>
  <si>
    <t>Vesting from private sale</t>
  </si>
  <si>
    <t>Vesting from ICO</t>
  </si>
  <si>
    <t>Vesting from secondary sale</t>
  </si>
  <si>
    <t>Vesting from founders</t>
  </si>
  <si>
    <t>Total float</t>
  </si>
  <si>
    <t>Stake percentage</t>
  </si>
  <si>
    <t>Total liquid float</t>
  </si>
  <si>
    <t>Adoption S-Curves</t>
  </si>
  <si>
    <t>Total Adressable TAM</t>
  </si>
  <si>
    <t>Monetary base required (PQ/V)</t>
  </si>
  <si>
    <t>Contemporaneous utility value per token in float</t>
  </si>
  <si>
    <t xml:space="preserve">Present utility value </t>
  </si>
  <si>
    <t>Fair Token Value</t>
  </si>
  <si>
    <t>Implied Float Market Cap</t>
  </si>
  <si>
    <t>Implied Total Market Cap</t>
  </si>
  <si>
    <t>Total Mkt Cap</t>
  </si>
  <si>
    <t>Sensitivity</t>
  </si>
  <si>
    <t>Fair token value is the maximum PV for any investor horizon</t>
  </si>
  <si>
    <t>Equivalent to the nth order valuation methodology with equal granularity as estimates</t>
  </si>
  <si>
    <t>Contemporaneous utility value is the lower bound for fair value</t>
  </si>
  <si>
    <t>Fair token value</t>
  </si>
  <si>
    <t>Total TAM ($ in Billions)</t>
  </si>
  <si>
    <t>CAGR</t>
  </si>
  <si>
    <t>Arbitrage</t>
  </si>
  <si>
    <t>Gaming Point of Sale</t>
  </si>
  <si>
    <t>IoT</t>
  </si>
  <si>
    <t>Content Monetization</t>
  </si>
  <si>
    <t>P2P Payments</t>
  </si>
  <si>
    <t>Point of Sale</t>
  </si>
  <si>
    <t>Game Token Transactions</t>
  </si>
  <si>
    <t>Remittances</t>
  </si>
  <si>
    <t>% Addressable</t>
  </si>
  <si>
    <t>Addressable TAM ($ in Billions)</t>
  </si>
  <si>
    <t>S-Curve Variables</t>
  </si>
  <si>
    <t>Valuation Model: Equation of Exchange</t>
  </si>
  <si>
    <t>Token Value</t>
  </si>
  <si>
    <t>2019-2031 CAGR</t>
  </si>
  <si>
    <t>Disclaimer: This is an illustrative model not intended to reflect any real asset</t>
  </si>
  <si>
    <t>Token Value Variables</t>
  </si>
  <si>
    <t>M = (P x Q)/V, where:</t>
  </si>
  <si>
    <t>Assumptions</t>
  </si>
  <si>
    <t>Illustrative Valuation Model for a Currency Crypto Asset</t>
  </si>
  <si>
    <t>Total Economy Value</t>
  </si>
  <si>
    <t>Economy Value</t>
  </si>
  <si>
    <t>Economy Value Variables</t>
  </si>
  <si>
    <t>Green = link in same tab</t>
  </si>
  <si>
    <t>Purple = link to another tab</t>
  </si>
  <si>
    <t>Black = formula</t>
  </si>
  <si>
    <t>Blue = hard coded assumption</t>
  </si>
  <si>
    <t>Note: Long-term holders are grouped with staked tokens</t>
  </si>
  <si>
    <t>f</t>
  </si>
  <si>
    <t>Adoption Intensity</t>
  </si>
  <si>
    <t>Note: Lambda is the percentage point you wish to fix. Above, lambda = 95% since we are fixing the year when network hits 95% of max share.</t>
  </si>
  <si>
    <t>% Growth</t>
  </si>
  <si>
    <t>Hurdle Rate</t>
  </si>
  <si>
    <t>Long-term Staking Return</t>
  </si>
  <si>
    <t>Terminal Stake %</t>
  </si>
  <si>
    <t>Terminal Growth in Liquid Token Supply</t>
  </si>
  <si>
    <t>Terminal Growth in Contemporaneous Utility Value per Token in Float</t>
  </si>
  <si>
    <t>Terminal Present Utility Value Growth</t>
  </si>
  <si>
    <t>If terminal present utility value growth is negative, then you have modeled sufficient number of years</t>
  </si>
  <si>
    <t>Terminal Total Economy Value Growth Rate Estimate</t>
  </si>
  <si>
    <r>
      <t>Fair Token Value Over Time (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th order investors)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</si>
</sst>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0"/>
    <numFmt numFmtId="167" formatCode="_(* #,##0.0000_);_(* \(#,##0.0000\);_(* &quot;-&quot;??_);_(@_)"/>
    <numFmt numFmtId="168" formatCode="_(#,##0_)_%;\(#,##0\)_%;_(&quot;–&quot;_)_%;_(@_)_%"/>
    <numFmt numFmtId="169" formatCode="_(#,##0.0%_);\(#,##0.0%\);_(&quot;–&quot;_)_%;_(@_)_%"/>
    <numFmt numFmtId="170" formatCode="0.0\x"/>
    <numFmt numFmtId="171" formatCode="_(0.0\x_)_)_';_(\(0.0\x\)_'_';_(&quot;–&quot;_)_%;_(@_)_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80008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i/>
      <sz val="12"/>
      <color rgb="FF008000"/>
      <name val="Calibri"/>
      <family val="2"/>
      <scheme val="minor"/>
    </font>
    <font>
      <i/>
      <sz val="12"/>
      <color rgb="FF800080"/>
      <name val="Calibri"/>
      <family val="2"/>
      <scheme val="minor"/>
    </font>
    <font>
      <sz val="9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0">
    <xf numFmtId="0" fontId="0" fillId="0" borderId="0" xfId="0"/>
    <xf numFmtId="9" fontId="0" fillId="0" borderId="0" xfId="0" applyNumberFormat="1"/>
    <xf numFmtId="0" fontId="2" fillId="0" borderId="0" xfId="0" applyFont="1"/>
    <xf numFmtId="164" fontId="0" fillId="0" borderId="0" xfId="1" applyNumberFormat="1" applyFont="1"/>
    <xf numFmtId="10" fontId="0" fillId="0" borderId="0" xfId="2" applyNumberFormat="1" applyFont="1"/>
    <xf numFmtId="167" fontId="0" fillId="0" borderId="0" xfId="1" applyNumberFormat="1" applyFont="1"/>
    <xf numFmtId="0" fontId="2" fillId="0" borderId="1" xfId="0" applyFont="1" applyBorder="1"/>
    <xf numFmtId="0" fontId="4" fillId="0" borderId="0" xfId="3"/>
    <xf numFmtId="0" fontId="3" fillId="0" borderId="0" xfId="0" applyFont="1"/>
    <xf numFmtId="168" fontId="0" fillId="0" borderId="0" xfId="0" applyNumberFormat="1"/>
    <xf numFmtId="169" fontId="0" fillId="0" borderId="0" xfId="0" applyNumberFormat="1"/>
    <xf numFmtId="0" fontId="0" fillId="5" borderId="12" xfId="0" applyFill="1" applyBorder="1"/>
    <xf numFmtId="165" fontId="0" fillId="0" borderId="0" xfId="0" applyNumberFormat="1" applyAlignment="1">
      <alignment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indent="1"/>
    </xf>
    <xf numFmtId="16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13" xfId="0" applyBorder="1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vertical="top"/>
    </xf>
    <xf numFmtId="43" fontId="0" fillId="0" borderId="0" xfId="0" applyNumberFormat="1"/>
    <xf numFmtId="165" fontId="0" fillId="0" borderId="0" xfId="0" applyNumberFormat="1"/>
    <xf numFmtId="0" fontId="3" fillId="4" borderId="2" xfId="0" applyFont="1" applyFill="1" applyBorder="1"/>
    <xf numFmtId="166" fontId="0" fillId="0" borderId="0" xfId="0" applyNumberFormat="1"/>
    <xf numFmtId="0" fontId="3" fillId="8" borderId="0" xfId="0" applyFont="1" applyFill="1"/>
    <xf numFmtId="0" fontId="0" fillId="8" borderId="0" xfId="0" applyFill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0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167" fontId="0" fillId="7" borderId="2" xfId="1" applyNumberFormat="1" applyFont="1" applyFill="1" applyBorder="1"/>
    <xf numFmtId="0" fontId="3" fillId="6" borderId="2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/>
    <xf numFmtId="164" fontId="8" fillId="0" borderId="0" xfId="1" applyNumberFormat="1" applyFont="1"/>
    <xf numFmtId="168" fontId="0" fillId="0" borderId="13" xfId="0" applyNumberFormat="1" applyBorder="1"/>
    <xf numFmtId="169" fontId="0" fillId="0" borderId="13" xfId="0" applyNumberFormat="1" applyBorder="1"/>
    <xf numFmtId="3" fontId="0" fillId="0" borderId="13" xfId="0" applyNumberFormat="1" applyBorder="1"/>
    <xf numFmtId="0" fontId="9" fillId="5" borderId="1" xfId="0" applyFont="1" applyFill="1" applyBorder="1" applyAlignment="1">
      <alignment vertical="center"/>
    </xf>
    <xf numFmtId="0" fontId="3" fillId="0" borderId="13" xfId="0" applyFont="1" applyBorder="1"/>
    <xf numFmtId="164" fontId="3" fillId="0" borderId="13" xfId="0" applyNumberFormat="1" applyFont="1" applyBorder="1"/>
    <xf numFmtId="0" fontId="10" fillId="0" borderId="0" xfId="0" applyFont="1" applyAlignment="1">
      <alignment horizontal="center"/>
    </xf>
    <xf numFmtId="170" fontId="3" fillId="0" borderId="3" xfId="0" applyNumberFormat="1" applyFont="1" applyBorder="1" applyAlignment="1">
      <alignment horizontal="center"/>
    </xf>
    <xf numFmtId="170" fontId="3" fillId="0" borderId="0" xfId="0" applyNumberFormat="1" applyFont="1" applyAlignment="1">
      <alignment horizontal="center"/>
    </xf>
    <xf numFmtId="170" fontId="3" fillId="0" borderId="5" xfId="0" applyNumberFormat="1" applyFont="1" applyBorder="1" applyAlignment="1">
      <alignment horizontal="center"/>
    </xf>
    <xf numFmtId="170" fontId="3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164" fontId="3" fillId="0" borderId="0" xfId="1" applyNumberFormat="1" applyFont="1"/>
    <xf numFmtId="0" fontId="0" fillId="0" borderId="0" xfId="0" applyFill="1" applyBorder="1"/>
    <xf numFmtId="165" fontId="0" fillId="0" borderId="0" xfId="0" applyNumberFormat="1" applyFill="1" applyAlignment="1">
      <alignment vertical="top"/>
    </xf>
    <xf numFmtId="165" fontId="11" fillId="9" borderId="0" xfId="0" applyNumberFormat="1" applyFont="1" applyFill="1" applyAlignment="1">
      <alignment vertical="top"/>
    </xf>
    <xf numFmtId="0" fontId="0" fillId="0" borderId="0" xfId="0" applyBorder="1"/>
    <xf numFmtId="164" fontId="11" fillId="9" borderId="0" xfId="1" applyNumberFormat="1" applyFont="1" applyFill="1" applyAlignment="1">
      <alignment horizontal="right" vertical="top"/>
    </xf>
    <xf numFmtId="9" fontId="11" fillId="9" borderId="0" xfId="0" applyNumberFormat="1" applyFont="1" applyFill="1" applyAlignment="1">
      <alignment horizontal="right" vertical="top"/>
    </xf>
    <xf numFmtId="0" fontId="11" fillId="9" borderId="0" xfId="0" applyFont="1" applyFill="1" applyAlignment="1">
      <alignment vertical="top"/>
    </xf>
    <xf numFmtId="9" fontId="11" fillId="9" borderId="0" xfId="0" applyNumberFormat="1" applyFont="1" applyFill="1" applyAlignment="1">
      <alignment vertical="top"/>
    </xf>
    <xf numFmtId="9" fontId="11" fillId="9" borderId="0" xfId="0" applyNumberFormat="1" applyFont="1" applyFill="1"/>
    <xf numFmtId="0" fontId="11" fillId="9" borderId="0" xfId="0" applyFont="1" applyFill="1"/>
    <xf numFmtId="165" fontId="11" fillId="9" borderId="0" xfId="0" applyNumberFormat="1" applyFont="1" applyFill="1"/>
    <xf numFmtId="0" fontId="3" fillId="0" borderId="0" xfId="0" applyFont="1" applyBorder="1"/>
    <xf numFmtId="171" fontId="11" fillId="9" borderId="0" xfId="0" applyNumberFormat="1" applyFont="1" applyFill="1" applyAlignment="1">
      <alignment horizontal="right"/>
    </xf>
    <xf numFmtId="171" fontId="0" fillId="0" borderId="0" xfId="0" applyNumberFormat="1"/>
    <xf numFmtId="169" fontId="11" fillId="9" borderId="0" xfId="0" applyNumberFormat="1" applyFont="1" applyFill="1" applyAlignment="1">
      <alignment horizontal="right"/>
    </xf>
    <xf numFmtId="9" fontId="0" fillId="0" borderId="0" xfId="0" applyNumberFormat="1" applyBorder="1"/>
    <xf numFmtId="168" fontId="0" fillId="0" borderId="0" xfId="0" applyNumberFormat="1" applyBorder="1"/>
    <xf numFmtId="169" fontId="0" fillId="0" borderId="0" xfId="0" applyNumberFormat="1" applyBorder="1"/>
    <xf numFmtId="164" fontId="12" fillId="0" borderId="0" xfId="0" applyNumberFormat="1" applyFont="1"/>
    <xf numFmtId="165" fontId="11" fillId="0" borderId="0" xfId="0" applyNumberFormat="1" applyFont="1" applyFill="1" applyAlignment="1">
      <alignment vertical="top"/>
    </xf>
    <xf numFmtId="0" fontId="2" fillId="0" borderId="0" xfId="0" applyFont="1" applyBorder="1"/>
    <xf numFmtId="0" fontId="0" fillId="0" borderId="17" xfId="0" applyBorder="1"/>
    <xf numFmtId="168" fontId="11" fillId="9" borderId="0" xfId="0" applyNumberFormat="1" applyFont="1" applyFill="1"/>
    <xf numFmtId="164" fontId="3" fillId="6" borderId="2" xfId="1" applyNumberFormat="1" applyFont="1" applyFill="1" applyBorder="1"/>
    <xf numFmtId="164" fontId="0" fillId="0" borderId="0" xfId="0" applyNumberFormat="1" applyBorder="1"/>
    <xf numFmtId="0" fontId="15" fillId="0" borderId="0" xfId="0" applyFont="1"/>
    <xf numFmtId="0" fontId="16" fillId="0" borderId="0" xfId="0" applyFont="1"/>
    <xf numFmtId="0" fontId="10" fillId="0" borderId="0" xfId="0" applyFont="1"/>
    <xf numFmtId="0" fontId="2" fillId="0" borderId="0" xfId="0" applyFont="1" applyAlignment="1">
      <alignment horizontal="left" indent="1"/>
    </xf>
    <xf numFmtId="0" fontId="3" fillId="3" borderId="18" xfId="0" applyFont="1" applyFill="1" applyBorder="1"/>
    <xf numFmtId="0" fontId="3" fillId="3" borderId="18" xfId="0" applyFont="1" applyFill="1" applyBorder="1" applyAlignment="1">
      <alignment horizontal="center"/>
    </xf>
    <xf numFmtId="169" fontId="3" fillId="3" borderId="2" xfId="1" applyNumberFormat="1" applyFont="1" applyFill="1" applyBorder="1" applyAlignment="1">
      <alignment horizontal="center"/>
    </xf>
    <xf numFmtId="0" fontId="3" fillId="6" borderId="18" xfId="0" applyFont="1" applyFill="1" applyBorder="1"/>
    <xf numFmtId="166" fontId="3" fillId="4" borderId="2" xfId="0" applyNumberFormat="1" applyFont="1" applyFill="1" applyBorder="1"/>
    <xf numFmtId="0" fontId="3" fillId="10" borderId="3" xfId="0" applyFont="1" applyFill="1" applyBorder="1"/>
    <xf numFmtId="0" fontId="3" fillId="10" borderId="11" xfId="0" applyFont="1" applyFill="1" applyBorder="1"/>
    <xf numFmtId="43" fontId="3" fillId="10" borderId="4" xfId="1" applyFont="1" applyFill="1" applyBorder="1"/>
    <xf numFmtId="0" fontId="3" fillId="10" borderId="5" xfId="0" applyFont="1" applyFill="1" applyBorder="1"/>
    <xf numFmtId="0" fontId="3" fillId="10" borderId="0" xfId="0" applyFont="1" applyFill="1"/>
    <xf numFmtId="164" fontId="3" fillId="10" borderId="6" xfId="1" applyNumberFormat="1" applyFont="1" applyFill="1" applyBorder="1"/>
    <xf numFmtId="0" fontId="3" fillId="10" borderId="7" xfId="0" applyFont="1" applyFill="1" applyBorder="1"/>
    <xf numFmtId="0" fontId="3" fillId="10" borderId="1" xfId="0" applyFont="1" applyFill="1" applyBorder="1"/>
    <xf numFmtId="164" fontId="3" fillId="10" borderId="8" xfId="1" applyNumberFormat="1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3" fillId="6" borderId="15" xfId="0" applyFont="1" applyFill="1" applyBorder="1" applyAlignment="1">
      <alignment vertical="center"/>
    </xf>
    <xf numFmtId="0" fontId="3" fillId="6" borderId="14" xfId="0" applyFont="1" applyFill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4" xfId="0" applyFont="1" applyFill="1" applyBorder="1" applyAlignment="1">
      <alignment horizontal="right" vertical="center"/>
    </xf>
    <xf numFmtId="168" fontId="0" fillId="0" borderId="0" xfId="0" applyNumberFormat="1" applyAlignment="1">
      <alignment vertical="center"/>
    </xf>
    <xf numFmtId="164" fontId="3" fillId="0" borderId="4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164" fontId="3" fillId="0" borderId="8" xfId="1" applyNumberFormat="1" applyFont="1" applyBorder="1" applyAlignment="1">
      <alignment horizontal="center"/>
    </xf>
    <xf numFmtId="0" fontId="0" fillId="0" borderId="0" xfId="0" applyBorder="1" applyAlignment="1">
      <alignment horizontal="left" indent="1"/>
    </xf>
    <xf numFmtId="165" fontId="0" fillId="0" borderId="0" xfId="0" applyNumberFormat="1" applyBorder="1" applyAlignment="1">
      <alignment vertical="top"/>
    </xf>
    <xf numFmtId="165" fontId="11" fillId="0" borderId="0" xfId="0" applyNumberFormat="1" applyFont="1" applyFill="1" applyBorder="1" applyAlignment="1">
      <alignment vertical="top"/>
    </xf>
    <xf numFmtId="165" fontId="11" fillId="9" borderId="0" xfId="0" applyNumberFormat="1" applyFont="1" applyFill="1" applyBorder="1" applyAlignment="1">
      <alignment vertical="top"/>
    </xf>
    <xf numFmtId="0" fontId="3" fillId="0" borderId="18" xfId="0" applyFont="1" applyBorder="1"/>
    <xf numFmtId="168" fontId="0" fillId="0" borderId="18" xfId="0" applyNumberFormat="1" applyBorder="1"/>
    <xf numFmtId="0" fontId="3" fillId="0" borderId="18" xfId="0" applyFont="1" applyBorder="1" applyAlignment="1">
      <alignment horizontal="center"/>
    </xf>
    <xf numFmtId="168" fontId="11" fillId="9" borderId="0" xfId="0" applyNumberFormat="1" applyFont="1" applyFill="1" applyBorder="1"/>
    <xf numFmtId="0" fontId="3" fillId="4" borderId="18" xfId="0" applyFont="1" applyFill="1" applyBorder="1"/>
    <xf numFmtId="169" fontId="0" fillId="0" borderId="0" xfId="0" applyNumberFormat="1" applyBorder="1" applyAlignment="1">
      <alignment horizontal="center"/>
    </xf>
    <xf numFmtId="164" fontId="8" fillId="0" borderId="0" xfId="1" applyNumberFormat="1" applyFont="1" applyBorder="1"/>
    <xf numFmtId="0" fontId="3" fillId="0" borderId="17" xfId="0" applyFont="1" applyBorder="1"/>
    <xf numFmtId="169" fontId="3" fillId="0" borderId="17" xfId="0" applyNumberFormat="1" applyFont="1" applyBorder="1" applyAlignment="1">
      <alignment horizontal="center"/>
    </xf>
    <xf numFmtId="164" fontId="3" fillId="0" borderId="17" xfId="1" applyNumberFormat="1" applyFont="1" applyBorder="1"/>
    <xf numFmtId="10" fontId="0" fillId="0" borderId="0" xfId="2" applyNumberFormat="1" applyFont="1" applyBorder="1"/>
    <xf numFmtId="0" fontId="6" fillId="11" borderId="0" xfId="0" applyFont="1" applyFill="1" applyAlignment="1">
      <alignment vertical="center"/>
    </xf>
    <xf numFmtId="0" fontId="17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/>
    <xf numFmtId="43" fontId="0" fillId="0" borderId="0" xfId="1" applyFont="1" applyBorder="1"/>
    <xf numFmtId="169" fontId="0" fillId="0" borderId="0" xfId="1" applyNumberFormat="1" applyFont="1"/>
    <xf numFmtId="0" fontId="0" fillId="0" borderId="0" xfId="0" applyFont="1" applyFill="1" applyBorder="1"/>
    <xf numFmtId="0" fontId="0" fillId="0" borderId="0" xfId="0" applyFont="1" applyFill="1"/>
    <xf numFmtId="0" fontId="13" fillId="0" borderId="0" xfId="0" applyFont="1" applyFill="1" applyBorder="1"/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Border="1"/>
    <xf numFmtId="0" fontId="0" fillId="0" borderId="17" xfId="0" applyFont="1" applyFill="1" applyBorder="1"/>
    <xf numFmtId="171" fontId="7" fillId="0" borderId="17" xfId="0" applyNumberFormat="1" applyFont="1" applyFill="1" applyBorder="1"/>
    <xf numFmtId="164" fontId="0" fillId="0" borderId="13" xfId="0" applyNumberForma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0" fontId="7" fillId="0" borderId="0" xfId="0" applyNumberFormat="1" applyFont="1"/>
    <xf numFmtId="9" fontId="11" fillId="9" borderId="0" xfId="0" applyNumberFormat="1" applyFont="1" applyFill="1" applyAlignment="1">
      <alignment horizontal="right" vertical="top" indent="6"/>
    </xf>
    <xf numFmtId="0" fontId="11" fillId="9" borderId="0" xfId="0" applyFont="1" applyFill="1" applyAlignment="1">
      <alignment horizontal="right" vertical="top" indent="6"/>
    </xf>
    <xf numFmtId="9" fontId="11" fillId="9" borderId="0" xfId="0" applyNumberFormat="1" applyFont="1" applyFill="1" applyAlignment="1">
      <alignment horizontal="right" indent="6"/>
    </xf>
    <xf numFmtId="0" fontId="11" fillId="9" borderId="0" xfId="0" applyFont="1" applyFill="1" applyAlignment="1">
      <alignment horizontal="right" indent="6"/>
    </xf>
    <xf numFmtId="39" fontId="12" fillId="0" borderId="0" xfId="0" applyNumberFormat="1" applyFont="1" applyFill="1" applyAlignment="1">
      <alignment horizontal="right" indent="6"/>
    </xf>
    <xf numFmtId="0" fontId="10" fillId="3" borderId="1" xfId="0" applyFont="1" applyFill="1" applyBorder="1" applyAlignment="1">
      <alignment horizontal="center" vertical="center"/>
    </xf>
    <xf numFmtId="165" fontId="7" fillId="0" borderId="0" xfId="0" applyNumberFormat="1" applyFont="1" applyBorder="1" applyAlignment="1">
      <alignment vertical="top"/>
    </xf>
    <xf numFmtId="165" fontId="7" fillId="0" borderId="0" xfId="0" applyNumberFormat="1" applyFont="1" applyAlignment="1">
      <alignment vertical="top"/>
    </xf>
    <xf numFmtId="0" fontId="7" fillId="0" borderId="0" xfId="0" applyFont="1" applyAlignment="1">
      <alignment horizontal="left" indent="1"/>
    </xf>
    <xf numFmtId="166" fontId="2" fillId="0" borderId="0" xfId="0" applyNumberFormat="1" applyFont="1"/>
    <xf numFmtId="169" fontId="2" fillId="0" borderId="0" xfId="0" applyNumberFormat="1" applyFont="1"/>
    <xf numFmtId="169" fontId="7" fillId="0" borderId="0" xfId="0" applyNumberFormat="1" applyFont="1"/>
    <xf numFmtId="0" fontId="2" fillId="0" borderId="13" xfId="0" applyFont="1" applyBorder="1"/>
    <xf numFmtId="0" fontId="12" fillId="5" borderId="12" xfId="0" applyFont="1" applyFill="1" applyBorder="1"/>
    <xf numFmtId="165" fontId="12" fillId="9" borderId="0" xfId="0" applyNumberFormat="1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Token Utility Value</a:t>
            </a:r>
          </a:p>
        </c:rich>
      </c:tx>
      <c:layout>
        <c:manualLayout>
          <c:xMode val="edge"/>
          <c:yMode val="edge"/>
          <c:x val="0.41226911292277141"/>
          <c:y val="2.34417197547017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Model!$C$80</c:f>
              <c:strCache>
                <c:ptCount val="1"/>
                <c:pt idx="0">
                  <c:v>Contemporaneous utility value per token in float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Model!$E$77:$Q$77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xVal>
          <c:yVal>
            <c:numRef>
              <c:f>Model!$E$80:$Q$80</c:f>
              <c:numCache>
                <c:formatCode>0.0000</c:formatCode>
                <c:ptCount val="13"/>
                <c:pt idx="0">
                  <c:v>24.831342353737003</c:v>
                </c:pt>
                <c:pt idx="1">
                  <c:v>27.998972168878304</c:v>
                </c:pt>
                <c:pt idx="2">
                  <c:v>44.437545334379458</c:v>
                </c:pt>
                <c:pt idx="3">
                  <c:v>65.927739314758568</c:v>
                </c:pt>
                <c:pt idx="4">
                  <c:v>95.858723954608294</c:v>
                </c:pt>
                <c:pt idx="5">
                  <c:v>130.77319466321416</c:v>
                </c:pt>
                <c:pt idx="6">
                  <c:v>169.85105777586006</c:v>
                </c:pt>
                <c:pt idx="7">
                  <c:v>207.77776823357956</c:v>
                </c:pt>
                <c:pt idx="8">
                  <c:v>238.97155092486111</c:v>
                </c:pt>
                <c:pt idx="9">
                  <c:v>262.15258891683447</c:v>
                </c:pt>
                <c:pt idx="10">
                  <c:v>279.4089835089722</c:v>
                </c:pt>
                <c:pt idx="11">
                  <c:v>293.38741118964811</c:v>
                </c:pt>
                <c:pt idx="12">
                  <c:v>309.61441630356347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57-4D36-BFBA-37C5736D423E}"/>
            </c:ext>
          </c:extLst>
        </c:ser>
        <c:ser>
          <c:idx val="1"/>
          <c:order val="1"/>
          <c:tx>
            <c:strRef>
              <c:f>Model!$C$129</c:f>
              <c:strCache>
                <c:ptCount val="1"/>
                <c:pt idx="0">
                  <c:v>Fair token value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Model!$E$77:$Q$77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xVal>
          <c:yVal>
            <c:numRef>
              <c:f>Model!$E$129:$Q$129</c:f>
              <c:numCache>
                <c:formatCode>_(* #,##0.0000_);_(* \(#,##0.0000\);_(* "-"??_);_(@_)</c:formatCode>
                <c:ptCount val="13"/>
                <c:pt idx="0">
                  <c:v>44.525435689595056</c:v>
                </c:pt>
                <c:pt idx="1">
                  <c:v>55.656794611993824</c:v>
                </c:pt>
                <c:pt idx="2">
                  <c:v>69.570993264992282</c:v>
                </c:pt>
                <c:pt idx="3">
                  <c:v>86.963741581240356</c:v>
                </c:pt>
                <c:pt idx="4">
                  <c:v>108.70467697655045</c:v>
                </c:pt>
                <c:pt idx="5">
                  <c:v>135.88084622068806</c:v>
                </c:pt>
                <c:pt idx="6">
                  <c:v>169.85105777586006</c:v>
                </c:pt>
                <c:pt idx="7">
                  <c:v>207.77776823357956</c:v>
                </c:pt>
                <c:pt idx="8">
                  <c:v>238.97155092486111</c:v>
                </c:pt>
                <c:pt idx="9">
                  <c:v>262.15258891683447</c:v>
                </c:pt>
                <c:pt idx="10">
                  <c:v>279.4089835089722</c:v>
                </c:pt>
                <c:pt idx="11">
                  <c:v>293.38741118964811</c:v>
                </c:pt>
                <c:pt idx="12">
                  <c:v>309.61441630356347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57-4D36-BFBA-37C5736D423E}"/>
            </c:ext>
          </c:extLst>
        </c:ser>
        <c:ser>
          <c:idx val="2"/>
          <c:order val="2"/>
          <c:tx>
            <c:strRef>
              <c:f>Model!$C$83</c:f>
              <c:strCache>
                <c:ptCount val="1"/>
                <c:pt idx="0">
                  <c:v>Present utility value </c:v>
                </c:pt>
              </c:strCache>
            </c:strRef>
          </c:tx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Model!$E$77:$Q$77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xVal>
          <c:yVal>
            <c:numRef>
              <c:f>Model!$E$83:$Q$83</c:f>
              <c:numCache>
                <c:formatCode>0.0000</c:formatCode>
                <c:ptCount val="13"/>
                <c:pt idx="0">
                  <c:v>24.831342353737003</c:v>
                </c:pt>
                <c:pt idx="1">
                  <c:v>22.399177735102644</c:v>
                </c:pt>
                <c:pt idx="2">
                  <c:v>28.440029014002853</c:v>
                </c:pt>
                <c:pt idx="3">
                  <c:v>33.755002529156386</c:v>
                </c:pt>
                <c:pt idx="4">
                  <c:v>39.263733331807558</c:v>
                </c:pt>
                <c:pt idx="5">
                  <c:v>42.851760427242013</c:v>
                </c:pt>
                <c:pt idx="6">
                  <c:v>44.525435689595056</c:v>
                </c:pt>
                <c:pt idx="7">
                  <c:v>43.574156220658786</c:v>
                </c:pt>
                <c:pt idx="8">
                  <c:v>40.092773277213944</c:v>
                </c:pt>
                <c:pt idx="9">
                  <c:v>35.185524873735503</c:v>
                </c:pt>
                <c:pt idx="10">
                  <c:v>30.001311159490974</c:v>
                </c:pt>
                <c:pt idx="11">
                  <c:v>25.20178672235286</c:v>
                </c:pt>
                <c:pt idx="12">
                  <c:v>21.27654067830295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B9-4761-9802-4849A2CB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184831"/>
        <c:axId val="1367343535"/>
      </c:scatterChart>
      <c:valAx>
        <c:axId val="136618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43535"/>
        <c:crosses val="autoZero"/>
        <c:crossBetween val="midCat"/>
        <c:majorUnit val="1"/>
      </c:valAx>
      <c:valAx>
        <c:axId val="13673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184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Adoption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Model!$C$132</c:f>
              <c:strCache>
                <c:ptCount val="1"/>
                <c:pt idx="0">
                  <c:v>Arbitrage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Model!$E$131:$Q$131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cat>
          <c:val>
            <c:numRef>
              <c:f>Model!$E$132:$Q$132</c:f>
              <c:numCache>
                <c:formatCode>0.00%</c:formatCode>
                <c:ptCount val="13"/>
                <c:pt idx="0">
                  <c:v>3.694414140896269E-2</c:v>
                </c:pt>
                <c:pt idx="1">
                  <c:v>8.1779485652700754E-2</c:v>
                </c:pt>
                <c:pt idx="2">
                  <c:v>0.15</c:v>
                </c:pt>
                <c:pt idx="3">
                  <c:v>0.21822051434729922</c:v>
                </c:pt>
                <c:pt idx="4">
                  <c:v>0.26305585859103731</c:v>
                </c:pt>
                <c:pt idx="5">
                  <c:v>0.28499999999999992</c:v>
                </c:pt>
                <c:pt idx="6">
                  <c:v>0.29419725069004943</c:v>
                </c:pt>
                <c:pt idx="7">
                  <c:v>0.29779876257880156</c:v>
                </c:pt>
                <c:pt idx="8">
                  <c:v>0.29917127071823202</c:v>
                </c:pt>
                <c:pt idx="9">
                  <c:v>0.29968889123793607</c:v>
                </c:pt>
                <c:pt idx="10">
                  <c:v>0.29988333442425985</c:v>
                </c:pt>
                <c:pt idx="11">
                  <c:v>0.29995626822157434</c:v>
                </c:pt>
                <c:pt idx="12">
                  <c:v>0.29998360975205002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8-4E5C-972C-D0C23452AAF3}"/>
            </c:ext>
          </c:extLst>
        </c:ser>
        <c:ser>
          <c:idx val="1"/>
          <c:order val="1"/>
          <c:tx>
            <c:strRef>
              <c:f>Model!$C$133</c:f>
              <c:strCache>
                <c:ptCount val="1"/>
                <c:pt idx="0">
                  <c:v>Gaming Point of Sale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Model!$E$131:$Q$131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cat>
          <c:val>
            <c:numRef>
              <c:f>Model!$E$133:$Q$133</c:f>
              <c:numCache>
                <c:formatCode>0.00%</c:formatCode>
                <c:ptCount val="13"/>
                <c:pt idx="0">
                  <c:v>2.9013746549752606E-3</c:v>
                </c:pt>
                <c:pt idx="1">
                  <c:v>7.5000000000000075E-3</c:v>
                </c:pt>
                <c:pt idx="2">
                  <c:v>1.8472070704481345E-2</c:v>
                </c:pt>
                <c:pt idx="3">
                  <c:v>4.0889742826350377E-2</c:v>
                </c:pt>
                <c:pt idx="4">
                  <c:v>7.4999999999999997E-2</c:v>
                </c:pt>
                <c:pt idx="5">
                  <c:v>0.10911025717364961</c:v>
                </c:pt>
                <c:pt idx="6">
                  <c:v>0.13152792929551865</c:v>
                </c:pt>
                <c:pt idx="7">
                  <c:v>0.14249999999999996</c:v>
                </c:pt>
                <c:pt idx="8">
                  <c:v>0.14709862534502471</c:v>
                </c:pt>
                <c:pt idx="9">
                  <c:v>0.14889938128940078</c:v>
                </c:pt>
                <c:pt idx="10">
                  <c:v>0.14958563535911601</c:v>
                </c:pt>
                <c:pt idx="11">
                  <c:v>0.14984444561896804</c:v>
                </c:pt>
                <c:pt idx="12">
                  <c:v>0.14994166721212993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F8-4E5C-972C-D0C23452AAF3}"/>
            </c:ext>
          </c:extLst>
        </c:ser>
        <c:ser>
          <c:idx val="2"/>
          <c:order val="2"/>
          <c:tx>
            <c:strRef>
              <c:f>Model!$C$134</c:f>
              <c:strCache>
                <c:ptCount val="1"/>
                <c:pt idx="0">
                  <c:v>IoT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Model!$E$131:$Q$131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cat>
          <c:val>
            <c:numRef>
              <c:f>Model!$E$134:$Q$134</c:f>
              <c:numCache>
                <c:formatCode>0.00%</c:formatCode>
                <c:ptCount val="13"/>
                <c:pt idx="0">
                  <c:v>1.2294632013309383E-3</c:v>
                </c:pt>
                <c:pt idx="1">
                  <c:v>2.5000000000000027E-3</c:v>
                </c:pt>
                <c:pt idx="2">
                  <c:v>4.9502505348558556E-3</c:v>
                </c:pt>
                <c:pt idx="3">
                  <c:v>9.3302748431685414E-3</c:v>
                </c:pt>
                <c:pt idx="4">
                  <c:v>1.6192771027269695E-2</c:v>
                </c:pt>
                <c:pt idx="5">
                  <c:v>2.5000000000000001E-2</c:v>
                </c:pt>
                <c:pt idx="6">
                  <c:v>3.3807228972730308E-2</c:v>
                </c:pt>
                <c:pt idx="7">
                  <c:v>4.0669725156831461E-2</c:v>
                </c:pt>
                <c:pt idx="8">
                  <c:v>4.5049749465144152E-2</c:v>
                </c:pt>
                <c:pt idx="9">
                  <c:v>4.7499999999999994E-2</c:v>
                </c:pt>
                <c:pt idx="10">
                  <c:v>4.8770536798669072E-2</c:v>
                </c:pt>
                <c:pt idx="11">
                  <c:v>4.9403477107558526E-2</c:v>
                </c:pt>
                <c:pt idx="12">
                  <c:v>4.9712494106995887E-2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F8-4E5C-972C-D0C23452AAF3}"/>
            </c:ext>
          </c:extLst>
        </c:ser>
        <c:ser>
          <c:idx val="3"/>
          <c:order val="3"/>
          <c:tx>
            <c:strRef>
              <c:f>Model!$C$135</c:f>
              <c:strCache>
                <c:ptCount val="1"/>
                <c:pt idx="0">
                  <c:v>Content Monetization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Model!$E$131:$Q$131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cat>
          <c:val>
            <c:numRef>
              <c:f>Model!$E$135:$Q$135</c:f>
              <c:numCache>
                <c:formatCode>0.00%</c:formatCode>
                <c:ptCount val="13"/>
                <c:pt idx="0">
                  <c:v>1.2294632013309383E-3</c:v>
                </c:pt>
                <c:pt idx="1">
                  <c:v>2.5000000000000027E-3</c:v>
                </c:pt>
                <c:pt idx="2">
                  <c:v>4.9502505348558556E-3</c:v>
                </c:pt>
                <c:pt idx="3">
                  <c:v>9.3302748431685414E-3</c:v>
                </c:pt>
                <c:pt idx="4">
                  <c:v>1.6192771027269695E-2</c:v>
                </c:pt>
                <c:pt idx="5">
                  <c:v>2.5000000000000001E-2</c:v>
                </c:pt>
                <c:pt idx="6">
                  <c:v>3.3807228972730308E-2</c:v>
                </c:pt>
                <c:pt idx="7">
                  <c:v>4.0669725156831461E-2</c:v>
                </c:pt>
                <c:pt idx="8">
                  <c:v>4.5049749465144152E-2</c:v>
                </c:pt>
                <c:pt idx="9">
                  <c:v>4.7499999999999994E-2</c:v>
                </c:pt>
                <c:pt idx="10">
                  <c:v>4.8770536798669072E-2</c:v>
                </c:pt>
                <c:pt idx="11">
                  <c:v>4.9403477107558526E-2</c:v>
                </c:pt>
                <c:pt idx="12">
                  <c:v>4.9712494106995887E-2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F8-4E5C-972C-D0C23452AAF3}"/>
            </c:ext>
          </c:extLst>
        </c:ser>
        <c:ser>
          <c:idx val="4"/>
          <c:order val="4"/>
          <c:tx>
            <c:strRef>
              <c:f>Model!$C$136</c:f>
              <c:strCache>
                <c:ptCount val="1"/>
                <c:pt idx="0">
                  <c:v>P2P Payments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Model!$E$131:$Q$131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cat>
          <c:val>
            <c:numRef>
              <c:f>Model!$E$136:$Q$136</c:f>
              <c:numCache>
                <c:formatCode>0.00%</c:formatCode>
                <c:ptCount val="13"/>
                <c:pt idx="0">
                  <c:v>5.9652289244147634E-4</c:v>
                </c:pt>
                <c:pt idx="1">
                  <c:v>1.2294632013309383E-3</c:v>
                </c:pt>
                <c:pt idx="2">
                  <c:v>2.5000000000000027E-3</c:v>
                </c:pt>
                <c:pt idx="3">
                  <c:v>4.9502505348558556E-3</c:v>
                </c:pt>
                <c:pt idx="4">
                  <c:v>9.3302748431685414E-3</c:v>
                </c:pt>
                <c:pt idx="5">
                  <c:v>1.6192771027269695E-2</c:v>
                </c:pt>
                <c:pt idx="6">
                  <c:v>2.5000000000000001E-2</c:v>
                </c:pt>
                <c:pt idx="7">
                  <c:v>3.3807228972730308E-2</c:v>
                </c:pt>
                <c:pt idx="8">
                  <c:v>4.0669725156831461E-2</c:v>
                </c:pt>
                <c:pt idx="9">
                  <c:v>4.5049749465144152E-2</c:v>
                </c:pt>
                <c:pt idx="10">
                  <c:v>4.7499999999999994E-2</c:v>
                </c:pt>
                <c:pt idx="11">
                  <c:v>4.8770536798669072E-2</c:v>
                </c:pt>
                <c:pt idx="12">
                  <c:v>4.9403477107558526E-2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F8-4E5C-972C-D0C23452AAF3}"/>
            </c:ext>
          </c:extLst>
        </c:ser>
        <c:ser>
          <c:idx val="5"/>
          <c:order val="5"/>
          <c:tx>
            <c:strRef>
              <c:f>Model!$C$137</c:f>
              <c:strCache>
                <c:ptCount val="1"/>
                <c:pt idx="0">
                  <c:v>Point of Sale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Model!$E$131:$Q$131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cat>
          <c:val>
            <c:numRef>
              <c:f>Model!$E$137:$Q$137</c:f>
              <c:numCache>
                <c:formatCode>0.00%</c:formatCode>
                <c:ptCount val="13"/>
                <c:pt idx="0">
                  <c:v>5.9652289244147634E-4</c:v>
                </c:pt>
                <c:pt idx="1">
                  <c:v>1.2294632013309383E-3</c:v>
                </c:pt>
                <c:pt idx="2">
                  <c:v>2.5000000000000027E-3</c:v>
                </c:pt>
                <c:pt idx="3">
                  <c:v>4.9502505348558556E-3</c:v>
                </c:pt>
                <c:pt idx="4">
                  <c:v>9.3302748431685414E-3</c:v>
                </c:pt>
                <c:pt idx="5">
                  <c:v>1.6192771027269695E-2</c:v>
                </c:pt>
                <c:pt idx="6">
                  <c:v>2.5000000000000001E-2</c:v>
                </c:pt>
                <c:pt idx="7">
                  <c:v>3.3807228972730308E-2</c:v>
                </c:pt>
                <c:pt idx="8">
                  <c:v>4.0669725156831461E-2</c:v>
                </c:pt>
                <c:pt idx="9">
                  <c:v>4.5049749465144152E-2</c:v>
                </c:pt>
                <c:pt idx="10">
                  <c:v>4.7499999999999994E-2</c:v>
                </c:pt>
                <c:pt idx="11">
                  <c:v>4.8770536798669072E-2</c:v>
                </c:pt>
                <c:pt idx="12">
                  <c:v>4.9403477107558526E-2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F8-4E5C-972C-D0C23452AAF3}"/>
            </c:ext>
          </c:extLst>
        </c:ser>
        <c:ser>
          <c:idx val="6"/>
          <c:order val="6"/>
          <c:tx>
            <c:strRef>
              <c:f>Model!$C$138</c:f>
              <c:strCache>
                <c:ptCount val="1"/>
                <c:pt idx="0">
                  <c:v>Game Token Transactions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Model!$E$131:$Q$131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cat>
          <c:val>
            <c:numRef>
              <c:f>Model!$E$138:$Q$138</c:f>
              <c:numCache>
                <c:formatCode>0.00%</c:formatCode>
                <c:ptCount val="13"/>
                <c:pt idx="0">
                  <c:v>1.0000000000000011E-2</c:v>
                </c:pt>
                <c:pt idx="1">
                  <c:v>2.462942760597513E-2</c:v>
                </c:pt>
                <c:pt idx="2">
                  <c:v>5.4519657101800505E-2</c:v>
                </c:pt>
                <c:pt idx="3">
                  <c:v>0.1</c:v>
                </c:pt>
                <c:pt idx="4">
                  <c:v>0.1454803428981995</c:v>
                </c:pt>
                <c:pt idx="5">
                  <c:v>0.17537057239402487</c:v>
                </c:pt>
                <c:pt idx="6">
                  <c:v>0.18999999999999997</c:v>
                </c:pt>
                <c:pt idx="7">
                  <c:v>0.196131500460033</c:v>
                </c:pt>
                <c:pt idx="8">
                  <c:v>0.19853250838586772</c:v>
                </c:pt>
                <c:pt idx="9">
                  <c:v>0.19944751381215473</c:v>
                </c:pt>
                <c:pt idx="10">
                  <c:v>0.19979259415862408</c:v>
                </c:pt>
                <c:pt idx="11">
                  <c:v>0.19992222294950657</c:v>
                </c:pt>
                <c:pt idx="12">
                  <c:v>0.1999708454810496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F8-4E5C-972C-D0C23452AAF3}"/>
            </c:ext>
          </c:extLst>
        </c:ser>
        <c:ser>
          <c:idx val="7"/>
          <c:order val="7"/>
          <c:tx>
            <c:strRef>
              <c:f>Model!$C$139</c:f>
              <c:strCache>
                <c:ptCount val="1"/>
                <c:pt idx="0">
                  <c:v>Remittances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Model!$E$131:$Q$131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cat>
          <c:val>
            <c:numRef>
              <c:f>Model!$E$139:$Q$139</c:f>
              <c:numCache>
                <c:formatCode>0.00%</c:formatCode>
                <c:ptCount val="13"/>
                <c:pt idx="0">
                  <c:v>9.8357056106475067E-4</c:v>
                </c:pt>
                <c:pt idx="1">
                  <c:v>2.0000000000000022E-3</c:v>
                </c:pt>
                <c:pt idx="2">
                  <c:v>3.9602004278846839E-3</c:v>
                </c:pt>
                <c:pt idx="3">
                  <c:v>7.4642198745348337E-3</c:v>
                </c:pt>
                <c:pt idx="4">
                  <c:v>1.2954216821815755E-2</c:v>
                </c:pt>
                <c:pt idx="5">
                  <c:v>0.02</c:v>
                </c:pt>
                <c:pt idx="6">
                  <c:v>2.7045783178184245E-2</c:v>
                </c:pt>
                <c:pt idx="7">
                  <c:v>3.2535780125465166E-2</c:v>
                </c:pt>
                <c:pt idx="8">
                  <c:v>3.6039799572115318E-2</c:v>
                </c:pt>
                <c:pt idx="9">
                  <c:v>3.7999999999999992E-2</c:v>
                </c:pt>
                <c:pt idx="10">
                  <c:v>3.9016429438935255E-2</c:v>
                </c:pt>
                <c:pt idx="11">
                  <c:v>3.9522781686046823E-2</c:v>
                </c:pt>
                <c:pt idx="12">
                  <c:v>3.9769995285596708E-2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F8-4E5C-972C-D0C23452A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272576"/>
        <c:axId val="715265688"/>
      </c:lineChart>
      <c:catAx>
        <c:axId val="71527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65688"/>
        <c:crosses val="autoZero"/>
        <c:auto val="1"/>
        <c:lblAlgn val="ctr"/>
        <c:lblOffset val="100"/>
        <c:noMultiLvlLbl val="0"/>
      </c:catAx>
      <c:valAx>
        <c:axId val="71526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7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Growth Rate in Contemporaneous Utility Value per Token in Float</a:t>
            </a:r>
          </a:p>
        </c:rich>
      </c:tx>
      <c:layout>
        <c:manualLayout>
          <c:xMode val="edge"/>
          <c:yMode val="edge"/>
          <c:x val="0.25709321022614884"/>
          <c:y val="2.6371934724039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Growth Rate in Contemporaneous Utility Value per Token in Float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Model!$E$77:$Q$77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xVal>
          <c:yVal>
            <c:numRef>
              <c:f>Model!$E$81:$Q$81</c:f>
              <c:numCache>
                <c:formatCode>_(#,##0.0%_);\(#,##0.0%\);_("–"_)_%;_(@_)_%</c:formatCode>
                <c:ptCount val="13"/>
                <c:pt idx="1">
                  <c:v>0.12756579044405081</c:v>
                </c:pt>
                <c:pt idx="2">
                  <c:v>0.58711345067777598</c:v>
                </c:pt>
                <c:pt idx="3">
                  <c:v>0.48360443446350887</c:v>
                </c:pt>
                <c:pt idx="4">
                  <c:v>0.45399682972519861</c:v>
                </c:pt>
                <c:pt idx="5">
                  <c:v>0.36422841102223313</c:v>
                </c:pt>
                <c:pt idx="6">
                  <c:v>0.29882165999909094</c:v>
                </c:pt>
                <c:pt idx="7">
                  <c:v>0.22329393148536414</c:v>
                </c:pt>
                <c:pt idx="8">
                  <c:v>0.15013051182749315</c:v>
                </c:pt>
                <c:pt idx="9">
                  <c:v>9.7003337436020187E-2</c:v>
                </c:pt>
                <c:pt idx="10">
                  <c:v>6.5825764542085663E-2</c:v>
                </c:pt>
                <c:pt idx="11">
                  <c:v>5.0028554934516078E-2</c:v>
                </c:pt>
                <c:pt idx="12">
                  <c:v>5.5309139025825793E-2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57-4D36-BFBA-37C5736D423E}"/>
            </c:ext>
          </c:extLst>
        </c:ser>
        <c:ser>
          <c:idx val="0"/>
          <c:order val="1"/>
          <c:tx>
            <c:v>Hurdle Rate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Model!$E$77:$Q$77</c:f>
              <c:numCache>
                <c:formatCode>General</c:formatCode>
                <c:ptCount val="1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</c:numCache>
            </c:numRef>
          </c:xVal>
          <c:yVal>
            <c:numRef>
              <c:f>Model!$E$142:$Q$142</c:f>
              <c:numCache>
                <c:formatCode>_(#,##0.0%_);\(#,##0.0%\);_("–"_)_%;_(@_)_%</c:formatCode>
                <c:ptCount val="13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89-4171-9659-2718B10EF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184831"/>
        <c:axId val="1367343535"/>
      </c:scatterChart>
      <c:valAx>
        <c:axId val="136618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43535"/>
        <c:crosses val="autoZero"/>
        <c:crossBetween val="midCat"/>
        <c:majorUnit val="1"/>
      </c:valAx>
      <c:valAx>
        <c:axId val="13673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184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402348</xdr:colOff>
      <xdr:row>83</xdr:row>
      <xdr:rowOff>134835</xdr:rowOff>
    </xdr:from>
    <xdr:to>
      <xdr:col>11</xdr:col>
      <xdr:colOff>824539</xdr:colOff>
      <xdr:row>112</xdr:row>
      <xdr:rowOff>52852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E2A9CD-546E-48FB-B22A-B984847C2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161428</xdr:colOff>
      <xdr:row>13</xdr:row>
      <xdr:rowOff>2167</xdr:rowOff>
    </xdr:from>
    <xdr:to>
      <xdr:col>14</xdr:col>
      <xdr:colOff>1532658</xdr:colOff>
      <xdr:row>29</xdr:row>
      <xdr:rowOff>147206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C7E488-ACA7-4DC6-BB7A-52F4368CC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1090183</xdr:colOff>
      <xdr:row>83</xdr:row>
      <xdr:rowOff>134835</xdr:rowOff>
    </xdr:from>
    <xdr:to>
      <xdr:col>16</xdr:col>
      <xdr:colOff>1766454</xdr:colOff>
      <xdr:row>112</xdr:row>
      <xdr:rowOff>52852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810C63-4A81-4BB8-B0FA-1A090A164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M1V" TargetMode="External"/><Relationship Id="rId1" Type="http://schemas.openxmlformats.org/officeDocument/2006/relationships/hyperlink" Target="https://www.blockchain.com/charts/estimated-transaction-volume-usd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060F-6AE2-4B77-8A25-86B41F038075}">
  <dimension ref="A1:U142"/>
  <sheetViews>
    <sheetView showGridLines="0" tabSelected="1" view="pageBreakPreview" zoomScale="55" zoomScaleNormal="70" zoomScaleSheetLayoutView="55" workbookViewId="0">
      <selection activeCell="F29" sqref="F29"/>
    </sheetView>
  </sheetViews>
  <sheetFormatPr defaultColWidth="11" defaultRowHeight="15.75" outlineLevelRow="1" x14ac:dyDescent="0.5"/>
  <cols>
    <col min="1" max="1" width="1.6875" style="52" customWidth="1"/>
    <col min="2" max="2" width="1.5" style="52" customWidth="1"/>
    <col min="3" max="3" width="45.5" customWidth="1"/>
    <col min="4" max="4" width="16.3125" bestFit="1" customWidth="1"/>
    <col min="5" max="17" width="24.3125" bestFit="1" customWidth="1"/>
    <col min="18" max="19" width="1.5" customWidth="1"/>
    <col min="20" max="20" width="34.5" customWidth="1"/>
    <col min="21" max="21" width="25.5" customWidth="1"/>
    <col min="22" max="22" width="20.8125" customWidth="1"/>
  </cols>
  <sheetData>
    <row r="1" spans="1:21" ht="5" customHeight="1" x14ac:dyDescent="0.5"/>
    <row r="2" spans="1:21" ht="5" customHeight="1" x14ac:dyDescent="0.5"/>
    <row r="3" spans="1:21" s="93" customFormat="1" ht="20" customHeight="1" x14ac:dyDescent="0.5">
      <c r="A3" s="92"/>
      <c r="B3" s="92"/>
      <c r="C3" s="122" t="s">
        <v>92</v>
      </c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</row>
    <row r="4" spans="1:21" ht="5" customHeight="1" x14ac:dyDescent="0.5"/>
    <row r="5" spans="1:21" ht="15" customHeight="1" x14ac:dyDescent="0.5">
      <c r="C5" s="75" t="s">
        <v>88</v>
      </c>
    </row>
    <row r="6" spans="1:21" ht="5" customHeight="1" x14ac:dyDescent="0.5">
      <c r="C6" s="74"/>
    </row>
    <row r="7" spans="1:21" ht="30" customHeight="1" thickBot="1" x14ac:dyDescent="0.55000000000000004">
      <c r="A7" s="49"/>
      <c r="B7" s="49"/>
      <c r="C7" s="94" t="s">
        <v>91</v>
      </c>
      <c r="D7" s="95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T7" s="39" t="s">
        <v>0</v>
      </c>
      <c r="U7" s="39"/>
    </row>
    <row r="8" spans="1:21" ht="5" customHeight="1" x14ac:dyDescent="0.5">
      <c r="A8" s="49"/>
      <c r="B8" s="49"/>
      <c r="C8" s="2"/>
      <c r="D8" s="2"/>
    </row>
    <row r="9" spans="1:21" x14ac:dyDescent="0.5">
      <c r="C9" s="132" t="s">
        <v>99</v>
      </c>
      <c r="F9" s="60"/>
    </row>
    <row r="10" spans="1:21" x14ac:dyDescent="0.5">
      <c r="C10" s="133" t="s">
        <v>96</v>
      </c>
      <c r="D10" s="131"/>
      <c r="F10" s="60"/>
      <c r="T10" s="60"/>
      <c r="U10" s="52"/>
    </row>
    <row r="11" spans="1:21" x14ac:dyDescent="0.5">
      <c r="C11" s="134" t="s">
        <v>97</v>
      </c>
      <c r="D11" s="131"/>
      <c r="F11" s="60"/>
      <c r="T11" s="60"/>
      <c r="U11" s="52"/>
    </row>
    <row r="12" spans="1:21" x14ac:dyDescent="0.5">
      <c r="C12" s="69" t="s">
        <v>98</v>
      </c>
      <c r="D12" s="131"/>
      <c r="F12" s="60"/>
    </row>
    <row r="13" spans="1:21" ht="5" customHeight="1" thickBot="1" x14ac:dyDescent="0.55000000000000004">
      <c r="D13" s="52"/>
      <c r="G13" s="52"/>
    </row>
    <row r="14" spans="1:21" s="93" customFormat="1" ht="15" customHeight="1" thickBot="1" x14ac:dyDescent="0.55000000000000004">
      <c r="A14" s="97"/>
      <c r="B14" s="97"/>
      <c r="C14" s="98" t="s">
        <v>2</v>
      </c>
      <c r="D14" s="99" t="s">
        <v>5</v>
      </c>
      <c r="E14" s="100"/>
      <c r="F14" s="138" t="s">
        <v>95</v>
      </c>
      <c r="G14" s="139" t="s">
        <v>8</v>
      </c>
      <c r="H14" s="139" t="s">
        <v>11</v>
      </c>
      <c r="I14" s="139" t="s">
        <v>14</v>
      </c>
      <c r="J14" s="139" t="s">
        <v>17</v>
      </c>
      <c r="K14" s="140" t="s">
        <v>102</v>
      </c>
      <c r="L14"/>
      <c r="M14"/>
      <c r="N14"/>
      <c r="O14"/>
      <c r="P14" s="101" t="s">
        <v>89</v>
      </c>
      <c r="Q14" s="102"/>
      <c r="T14" s="18" t="s">
        <v>1</v>
      </c>
      <c r="U14" s="19"/>
    </row>
    <row r="15" spans="1:21" ht="16.149999999999999" thickBot="1" x14ac:dyDescent="0.55000000000000004">
      <c r="C15" s="20" t="s">
        <v>7</v>
      </c>
      <c r="D15" s="53">
        <v>200000000</v>
      </c>
      <c r="F15" s="141" t="s">
        <v>84</v>
      </c>
      <c r="G15" s="142" t="s">
        <v>24</v>
      </c>
      <c r="H15" s="142" t="s">
        <v>27</v>
      </c>
      <c r="I15" s="142" t="s">
        <v>30</v>
      </c>
      <c r="J15" s="150" t="s">
        <v>101</v>
      </c>
      <c r="K15" s="143" t="s">
        <v>35</v>
      </c>
      <c r="P15" t="s">
        <v>3</v>
      </c>
      <c r="Q15" s="61">
        <v>20</v>
      </c>
    </row>
    <row r="16" spans="1:21" ht="16.05" customHeight="1" x14ac:dyDescent="0.5">
      <c r="C16" s="20" t="s">
        <v>10</v>
      </c>
      <c r="D16" s="54">
        <v>0.3</v>
      </c>
      <c r="F16" s="125" t="str">
        <f>'TAM Assumptions'!C4</f>
        <v>Arbitrage</v>
      </c>
      <c r="G16" s="145">
        <v>0.3</v>
      </c>
      <c r="H16" s="146">
        <v>2021</v>
      </c>
      <c r="I16" s="147">
        <v>0.95</v>
      </c>
      <c r="J16" s="148">
        <v>2024</v>
      </c>
      <c r="K16" s="149">
        <f t="shared" ref="K16:K23" si="0">-LN((1-I16)/I16)/(J16-H16)</f>
        <v>0.98147965972214646</v>
      </c>
      <c r="P16" t="s">
        <v>12</v>
      </c>
      <c r="Q16" s="63">
        <v>0.25</v>
      </c>
      <c r="T16" s="93" t="s">
        <v>4</v>
      </c>
      <c r="U16" s="103">
        <v>750000000</v>
      </c>
    </row>
    <row r="17" spans="1:21" x14ac:dyDescent="0.5">
      <c r="C17" s="20" t="s">
        <v>13</v>
      </c>
      <c r="D17" s="55">
        <v>2</v>
      </c>
      <c r="F17" s="125" t="str">
        <f>'TAM Assumptions'!C5</f>
        <v>Gaming Point of Sale</v>
      </c>
      <c r="G17" s="145">
        <v>0.15</v>
      </c>
      <c r="H17" s="146">
        <v>2023</v>
      </c>
      <c r="I17" s="147">
        <v>0.95</v>
      </c>
      <c r="J17" s="148">
        <v>2026</v>
      </c>
      <c r="K17" s="149">
        <f t="shared" si="0"/>
        <v>0.98147965972214646</v>
      </c>
      <c r="T17" t="s">
        <v>6</v>
      </c>
      <c r="U17" s="9">
        <v>365</v>
      </c>
    </row>
    <row r="18" spans="1:21" x14ac:dyDescent="0.5">
      <c r="C18" s="20" t="s">
        <v>16</v>
      </c>
      <c r="D18" s="56">
        <v>0.1</v>
      </c>
      <c r="F18" s="125" t="str">
        <f>'TAM Assumptions'!C6</f>
        <v>IoT</v>
      </c>
      <c r="G18" s="145">
        <v>0.05</v>
      </c>
      <c r="H18" s="146">
        <v>2024</v>
      </c>
      <c r="I18" s="147">
        <v>0.95</v>
      </c>
      <c r="J18" s="148">
        <v>2028</v>
      </c>
      <c r="K18" s="149">
        <f t="shared" si="0"/>
        <v>0.73610974479160984</v>
      </c>
      <c r="P18" s="8" t="s">
        <v>22</v>
      </c>
      <c r="Q18" s="76" t="s">
        <v>90</v>
      </c>
      <c r="T18" s="17" t="s">
        <v>9</v>
      </c>
      <c r="U18" s="36">
        <f>U16*U17</f>
        <v>273750000000</v>
      </c>
    </row>
    <row r="19" spans="1:21" ht="16.05" customHeight="1" x14ac:dyDescent="0.5">
      <c r="C19" s="20" t="s">
        <v>19</v>
      </c>
      <c r="D19" s="55">
        <v>2</v>
      </c>
      <c r="F19" s="125" t="str">
        <f>'TAM Assumptions'!C7</f>
        <v>Content Monetization</v>
      </c>
      <c r="G19" s="145">
        <v>0.05</v>
      </c>
      <c r="H19" s="146">
        <v>2024</v>
      </c>
      <c r="I19" s="147">
        <v>0.95</v>
      </c>
      <c r="J19" s="148">
        <v>2028</v>
      </c>
      <c r="K19" s="149">
        <f t="shared" si="0"/>
        <v>0.73610974479160984</v>
      </c>
      <c r="P19" s="77" t="s">
        <v>31</v>
      </c>
      <c r="Q19" s="2" t="s">
        <v>32</v>
      </c>
    </row>
    <row r="20" spans="1:21" x14ac:dyDescent="0.5">
      <c r="C20" t="s">
        <v>21</v>
      </c>
      <c r="D20" s="57">
        <v>0.4</v>
      </c>
      <c r="E20" s="52"/>
      <c r="F20" s="125" t="str">
        <f>'TAM Assumptions'!C8</f>
        <v>P2P Payments</v>
      </c>
      <c r="G20" s="145">
        <v>0.05</v>
      </c>
      <c r="H20" s="146">
        <v>2025</v>
      </c>
      <c r="I20" s="147">
        <v>0.95</v>
      </c>
      <c r="J20" s="148">
        <v>2029</v>
      </c>
      <c r="K20" s="149">
        <f t="shared" si="0"/>
        <v>0.73610974479160984</v>
      </c>
      <c r="P20" s="77" t="s">
        <v>36</v>
      </c>
      <c r="Q20" s="2" t="s">
        <v>37</v>
      </c>
      <c r="T20" t="s">
        <v>15</v>
      </c>
      <c r="U20" s="9">
        <v>7500</v>
      </c>
    </row>
    <row r="21" spans="1:21" x14ac:dyDescent="0.5">
      <c r="C21" t="s">
        <v>23</v>
      </c>
      <c r="D21" s="58">
        <v>4</v>
      </c>
      <c r="F21" s="125" t="str">
        <f>'TAM Assumptions'!C9</f>
        <v>Point of Sale</v>
      </c>
      <c r="G21" s="145">
        <v>0.05</v>
      </c>
      <c r="H21" s="146">
        <v>2025</v>
      </c>
      <c r="I21" s="147">
        <v>0.95</v>
      </c>
      <c r="J21" s="148">
        <v>2029</v>
      </c>
      <c r="K21" s="149">
        <f t="shared" si="0"/>
        <v>0.73610974479160984</v>
      </c>
      <c r="P21" s="77" t="s">
        <v>39</v>
      </c>
      <c r="Q21" s="2" t="s">
        <v>40</v>
      </c>
      <c r="T21" t="s">
        <v>18</v>
      </c>
      <c r="U21" s="9">
        <v>17250000</v>
      </c>
    </row>
    <row r="22" spans="1:21" x14ac:dyDescent="0.5">
      <c r="C22" t="s">
        <v>26</v>
      </c>
      <c r="D22" s="57">
        <v>0.2</v>
      </c>
      <c r="F22" s="125" t="str">
        <f>'TAM Assumptions'!C10</f>
        <v>Game Token Transactions</v>
      </c>
      <c r="G22" s="145">
        <v>0.2</v>
      </c>
      <c r="H22" s="146">
        <v>2022</v>
      </c>
      <c r="I22" s="147">
        <v>0.95</v>
      </c>
      <c r="J22" s="148">
        <v>2025</v>
      </c>
      <c r="K22" s="149">
        <f t="shared" si="0"/>
        <v>0.98147965972214646</v>
      </c>
      <c r="P22" s="77" t="s">
        <v>43</v>
      </c>
      <c r="Q22" s="2" t="s">
        <v>44</v>
      </c>
      <c r="T22" s="17" t="s">
        <v>20</v>
      </c>
      <c r="U22" s="38">
        <f>U21*U20</f>
        <v>129375000000</v>
      </c>
    </row>
    <row r="23" spans="1:21" x14ac:dyDescent="0.5">
      <c r="C23" t="s">
        <v>29</v>
      </c>
      <c r="D23" s="58">
        <v>3</v>
      </c>
      <c r="F23" s="125" t="str">
        <f>'TAM Assumptions'!C11</f>
        <v>Remittances</v>
      </c>
      <c r="G23" s="145">
        <v>0.04</v>
      </c>
      <c r="H23" s="146">
        <v>2024</v>
      </c>
      <c r="I23" s="147">
        <v>0.95</v>
      </c>
      <c r="J23" s="148">
        <v>2028</v>
      </c>
      <c r="K23" s="149">
        <f t="shared" si="0"/>
        <v>0.73610974479160984</v>
      </c>
      <c r="P23" s="77" t="s">
        <v>47</v>
      </c>
      <c r="Q23" s="2" t="s">
        <v>48</v>
      </c>
    </row>
    <row r="24" spans="1:21" x14ac:dyDescent="0.5">
      <c r="C24" t="s">
        <v>34</v>
      </c>
      <c r="D24" s="57">
        <v>0.5</v>
      </c>
      <c r="F24" s="2" t="s">
        <v>103</v>
      </c>
      <c r="T24" t="s">
        <v>25</v>
      </c>
      <c r="U24" s="62">
        <f>U18/U22</f>
        <v>2.1159420289855073</v>
      </c>
    </row>
    <row r="25" spans="1:21" x14ac:dyDescent="0.5">
      <c r="C25" t="s">
        <v>38</v>
      </c>
      <c r="D25" s="57">
        <v>0.03</v>
      </c>
      <c r="F25" s="126"/>
      <c r="G25" s="64"/>
      <c r="H25" s="52"/>
      <c r="I25" s="127"/>
      <c r="T25" t="s">
        <v>28</v>
      </c>
      <c r="U25" s="62">
        <v>5.181</v>
      </c>
    </row>
    <row r="26" spans="1:21" x14ac:dyDescent="0.5">
      <c r="C26" t="s">
        <v>42</v>
      </c>
      <c r="D26" s="55">
        <v>2019</v>
      </c>
      <c r="F26" s="126"/>
      <c r="G26" s="64"/>
      <c r="H26" s="52"/>
      <c r="I26" s="127"/>
      <c r="T26" t="s">
        <v>33</v>
      </c>
      <c r="U26" s="62">
        <v>10.67</v>
      </c>
    </row>
    <row r="27" spans="1:21" x14ac:dyDescent="0.5">
      <c r="C27" t="s">
        <v>46</v>
      </c>
      <c r="D27" s="59">
        <v>1.4999999999999999E-2</v>
      </c>
      <c r="F27" s="126"/>
      <c r="G27" s="64"/>
      <c r="H27" s="52"/>
      <c r="I27" s="127"/>
    </row>
    <row r="28" spans="1:21" x14ac:dyDescent="0.5">
      <c r="C28" t="s">
        <v>106</v>
      </c>
      <c r="D28" s="59">
        <v>0.1</v>
      </c>
      <c r="F28" s="126"/>
      <c r="G28" s="64"/>
      <c r="H28" s="52"/>
      <c r="I28" s="127"/>
      <c r="T28" s="7" t="s">
        <v>41</v>
      </c>
    </row>
    <row r="29" spans="1:21" x14ac:dyDescent="0.5">
      <c r="C29" t="s">
        <v>107</v>
      </c>
      <c r="D29" s="159">
        <f>D27/D28</f>
        <v>0.15</v>
      </c>
      <c r="F29" s="126"/>
      <c r="G29" s="64"/>
      <c r="H29" s="52"/>
      <c r="I29" s="127"/>
      <c r="T29" s="7" t="s">
        <v>45</v>
      </c>
    </row>
    <row r="30" spans="1:21" x14ac:dyDescent="0.5">
      <c r="C30" s="2" t="s">
        <v>100</v>
      </c>
      <c r="F30" s="126"/>
      <c r="G30" s="64"/>
      <c r="H30" s="52"/>
      <c r="I30" s="127"/>
      <c r="K30" s="52"/>
      <c r="L30" s="52"/>
      <c r="M30" s="52"/>
      <c r="N30" s="52"/>
      <c r="O30" s="52"/>
      <c r="T30" s="7"/>
    </row>
    <row r="31" spans="1:21" x14ac:dyDescent="0.5">
      <c r="D31" s="2"/>
      <c r="F31" s="126"/>
      <c r="G31" s="64"/>
      <c r="H31" s="52"/>
      <c r="I31" s="127"/>
      <c r="T31" s="1"/>
    </row>
    <row r="32" spans="1:21" s="93" customFormat="1" ht="30" customHeight="1" x14ac:dyDescent="0.5">
      <c r="A32" s="92"/>
      <c r="B32" s="92"/>
      <c r="C32" s="94" t="s">
        <v>85</v>
      </c>
      <c r="D32" s="95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</row>
    <row r="33" spans="1:17" ht="5" customHeight="1" x14ac:dyDescent="0.5">
      <c r="A33" s="49"/>
      <c r="B33" s="49"/>
      <c r="C33" s="2"/>
      <c r="D33" s="2"/>
    </row>
    <row r="34" spans="1:17" s="8" customFormat="1" x14ac:dyDescent="0.5">
      <c r="A34" s="60"/>
      <c r="B34" s="60"/>
      <c r="C34" s="81" t="s">
        <v>49</v>
      </c>
      <c r="D34" s="81"/>
      <c r="E34" s="81">
        <f>$D$26</f>
        <v>2019</v>
      </c>
      <c r="F34" s="81">
        <f>E34+1</f>
        <v>2020</v>
      </c>
      <c r="G34" s="81">
        <f t="shared" ref="G34:Q34" si="1">F34+1</f>
        <v>2021</v>
      </c>
      <c r="H34" s="81">
        <f t="shared" si="1"/>
        <v>2022</v>
      </c>
      <c r="I34" s="81">
        <f t="shared" si="1"/>
        <v>2023</v>
      </c>
      <c r="J34" s="81">
        <f t="shared" si="1"/>
        <v>2024</v>
      </c>
      <c r="K34" s="81">
        <f t="shared" si="1"/>
        <v>2025</v>
      </c>
      <c r="L34" s="81">
        <f t="shared" si="1"/>
        <v>2026</v>
      </c>
      <c r="M34" s="81">
        <f t="shared" si="1"/>
        <v>2027</v>
      </c>
      <c r="N34" s="81">
        <f t="shared" si="1"/>
        <v>2028</v>
      </c>
      <c r="O34" s="81">
        <f t="shared" si="1"/>
        <v>2029</v>
      </c>
      <c r="P34" s="81">
        <f t="shared" si="1"/>
        <v>2030</v>
      </c>
      <c r="Q34" s="81">
        <f t="shared" si="1"/>
        <v>2031</v>
      </c>
    </row>
    <row r="35" spans="1:17" x14ac:dyDescent="0.5">
      <c r="C35" s="52" t="s">
        <v>50</v>
      </c>
      <c r="D35" s="52"/>
      <c r="E35" s="52">
        <v>0</v>
      </c>
      <c r="F35" s="73">
        <f>E41</f>
        <v>76333333.333333328</v>
      </c>
      <c r="G35" s="73">
        <f t="shared" ref="G35:Q35" si="2">F41</f>
        <v>152711666.66666666</v>
      </c>
      <c r="H35" s="73">
        <f t="shared" si="2"/>
        <v>189135675</v>
      </c>
      <c r="I35" s="73">
        <f t="shared" si="2"/>
        <v>212272710.125</v>
      </c>
      <c r="J35" s="73">
        <f t="shared" si="2"/>
        <v>215456800.77687499</v>
      </c>
      <c r="K35" s="73">
        <f t="shared" si="2"/>
        <v>218688652.78852811</v>
      </c>
      <c r="L35" s="73">
        <f t="shared" si="2"/>
        <v>221968982.58035603</v>
      </c>
      <c r="M35" s="73">
        <f t="shared" si="2"/>
        <v>225298517.31906137</v>
      </c>
      <c r="N35" s="73">
        <f t="shared" si="2"/>
        <v>228677995.07884729</v>
      </c>
      <c r="O35" s="73">
        <f t="shared" si="2"/>
        <v>232108165.00503001</v>
      </c>
      <c r="P35" s="73">
        <f t="shared" si="2"/>
        <v>235589787.48010546</v>
      </c>
      <c r="Q35" s="73">
        <f t="shared" si="2"/>
        <v>239123634.29230705</v>
      </c>
    </row>
    <row r="36" spans="1:17" x14ac:dyDescent="0.5">
      <c r="C36" t="s">
        <v>51</v>
      </c>
      <c r="E36" s="3">
        <f t="shared" ref="E36:Q36" si="3">IF(E$34-$D$26&lt;$D$17,$D$15*$D$16/$D$17,"")</f>
        <v>30000000</v>
      </c>
      <c r="F36" s="3">
        <f t="shared" si="3"/>
        <v>30000000</v>
      </c>
      <c r="G36" s="3" t="str">
        <f t="shared" si="3"/>
        <v/>
      </c>
      <c r="H36" s="3" t="str">
        <f t="shared" si="3"/>
        <v/>
      </c>
      <c r="I36" s="3" t="str">
        <f t="shared" si="3"/>
        <v/>
      </c>
      <c r="J36" s="3" t="str">
        <f t="shared" si="3"/>
        <v/>
      </c>
      <c r="K36" s="3" t="str">
        <f t="shared" si="3"/>
        <v/>
      </c>
      <c r="L36" s="3" t="str">
        <f t="shared" si="3"/>
        <v/>
      </c>
      <c r="M36" s="3" t="str">
        <f t="shared" si="3"/>
        <v/>
      </c>
      <c r="N36" s="3" t="str">
        <f t="shared" si="3"/>
        <v/>
      </c>
      <c r="O36" s="3" t="str">
        <f t="shared" si="3"/>
        <v/>
      </c>
      <c r="P36" s="3" t="str">
        <f t="shared" si="3"/>
        <v/>
      </c>
      <c r="Q36" s="3" t="str">
        <f t="shared" si="3"/>
        <v/>
      </c>
    </row>
    <row r="37" spans="1:17" x14ac:dyDescent="0.5">
      <c r="C37" t="s">
        <v>52</v>
      </c>
      <c r="E37" s="3">
        <f t="shared" ref="E37:Q37" si="4">IF(E$34-$D$26&lt;$D$19,$D$15*$D$18/$D$19,"")</f>
        <v>10000000</v>
      </c>
      <c r="F37" s="3">
        <f t="shared" si="4"/>
        <v>10000000</v>
      </c>
      <c r="G37" s="3" t="str">
        <f t="shared" si="4"/>
        <v/>
      </c>
      <c r="H37" s="3" t="str">
        <f t="shared" si="4"/>
        <v/>
      </c>
      <c r="I37" s="3" t="str">
        <f t="shared" si="4"/>
        <v/>
      </c>
      <c r="J37" s="3" t="str">
        <f t="shared" si="4"/>
        <v/>
      </c>
      <c r="K37" s="3" t="str">
        <f t="shared" si="4"/>
        <v/>
      </c>
      <c r="L37" s="3" t="str">
        <f t="shared" si="4"/>
        <v/>
      </c>
      <c r="M37" s="3" t="str">
        <f t="shared" si="4"/>
        <v/>
      </c>
      <c r="N37" s="3" t="str">
        <f t="shared" si="4"/>
        <v/>
      </c>
      <c r="O37" s="3" t="str">
        <f t="shared" si="4"/>
        <v/>
      </c>
      <c r="P37" s="3" t="str">
        <f t="shared" si="4"/>
        <v/>
      </c>
      <c r="Q37" s="3" t="str">
        <f t="shared" si="4"/>
        <v/>
      </c>
    </row>
    <row r="38" spans="1:17" x14ac:dyDescent="0.5">
      <c r="C38" t="s">
        <v>53</v>
      </c>
      <c r="E38" s="3">
        <f t="shared" ref="E38:Q38" si="5">IF(E$34-$D$26&lt;$D$21,$D$15*$D$20/$D$21,"")</f>
        <v>20000000</v>
      </c>
      <c r="F38" s="3">
        <f t="shared" si="5"/>
        <v>20000000</v>
      </c>
      <c r="G38" s="3">
        <f t="shared" si="5"/>
        <v>20000000</v>
      </c>
      <c r="H38" s="3">
        <f t="shared" si="5"/>
        <v>20000000</v>
      </c>
      <c r="I38" s="3" t="str">
        <f t="shared" si="5"/>
        <v/>
      </c>
      <c r="J38" s="3" t="str">
        <f t="shared" si="5"/>
        <v/>
      </c>
      <c r="K38" s="3" t="str">
        <f t="shared" si="5"/>
        <v/>
      </c>
      <c r="L38" s="3" t="str">
        <f t="shared" si="5"/>
        <v/>
      </c>
      <c r="M38" s="3" t="str">
        <f t="shared" si="5"/>
        <v/>
      </c>
      <c r="N38" s="3" t="str">
        <f t="shared" si="5"/>
        <v/>
      </c>
      <c r="O38" s="3" t="str">
        <f t="shared" si="5"/>
        <v/>
      </c>
      <c r="P38" s="3" t="str">
        <f t="shared" si="5"/>
        <v/>
      </c>
      <c r="Q38" s="3" t="str">
        <f t="shared" si="5"/>
        <v/>
      </c>
    </row>
    <row r="39" spans="1:17" x14ac:dyDescent="0.5">
      <c r="C39" t="s">
        <v>54</v>
      </c>
      <c r="E39" s="3">
        <f t="shared" ref="E39:Q39" si="6">IF(E$34-$D$26&lt;$D$23,$D$15*$D$22/$D$23,"")</f>
        <v>13333333.333333334</v>
      </c>
      <c r="F39" s="3">
        <f t="shared" si="6"/>
        <v>13333333.333333334</v>
      </c>
      <c r="G39" s="3">
        <f t="shared" si="6"/>
        <v>13333333.333333334</v>
      </c>
      <c r="H39" s="3" t="str">
        <f t="shared" si="6"/>
        <v/>
      </c>
      <c r="I39" s="3" t="str">
        <f t="shared" si="6"/>
        <v/>
      </c>
      <c r="J39" s="3" t="str">
        <f t="shared" si="6"/>
        <v/>
      </c>
      <c r="K39" s="3" t="str">
        <f t="shared" si="6"/>
        <v/>
      </c>
      <c r="L39" s="3" t="str">
        <f t="shared" si="6"/>
        <v/>
      </c>
      <c r="M39" s="3" t="str">
        <f t="shared" si="6"/>
        <v/>
      </c>
      <c r="N39" s="3" t="str">
        <f t="shared" si="6"/>
        <v/>
      </c>
      <c r="O39" s="3" t="str">
        <f t="shared" si="6"/>
        <v/>
      </c>
      <c r="P39" s="3" t="str">
        <f t="shared" si="6"/>
        <v/>
      </c>
      <c r="Q39" s="3" t="str">
        <f t="shared" si="6"/>
        <v/>
      </c>
    </row>
    <row r="40" spans="1:17" x14ac:dyDescent="0.5">
      <c r="C40" t="s">
        <v>46</v>
      </c>
      <c r="E40" s="3">
        <f>D27*$D$15</f>
        <v>3000000</v>
      </c>
      <c r="F40" s="3">
        <f>($D$15+SUM($E$40:E40))*$D$27</f>
        <v>3045000</v>
      </c>
      <c r="G40" s="3">
        <f>($D$15+SUM($E$40:F40))*$D$27</f>
        <v>3090675</v>
      </c>
      <c r="H40" s="3">
        <f>($D$15+SUM($E$40:G40))*$D$27</f>
        <v>3137035.125</v>
      </c>
      <c r="I40" s="3">
        <f>($D$15+SUM($E$40:H40))*$D$27</f>
        <v>3184090.651875</v>
      </c>
      <c r="J40" s="3">
        <f>($D$15+SUM($E$40:I40))*$D$27</f>
        <v>3231852.0116531248</v>
      </c>
      <c r="K40" s="3">
        <f>($D$15+SUM($E$40:J40))*$D$27</f>
        <v>3280329.7918279218</v>
      </c>
      <c r="L40" s="3">
        <f>($D$15+SUM($E$40:K40))*$D$27</f>
        <v>3329534.7387053408</v>
      </c>
      <c r="M40" s="3">
        <f>($D$15+SUM($E$40:L40))*$D$27</f>
        <v>3379477.7597859208</v>
      </c>
      <c r="N40" s="3">
        <f>($D$15+SUM($E$40:M40))*$D$27</f>
        <v>3430169.9261827096</v>
      </c>
      <c r="O40" s="3">
        <f>($D$15+SUM($E$40:N40))*$D$27</f>
        <v>3481622.4750754498</v>
      </c>
      <c r="P40" s="3">
        <f>($D$15+SUM($E$40:O40))*$D$27</f>
        <v>3533846.8122015819</v>
      </c>
      <c r="Q40" s="3">
        <f>($D$15+SUM($E$40:P40))*$D$27</f>
        <v>3586854.5143846055</v>
      </c>
    </row>
    <row r="41" spans="1:17" x14ac:dyDescent="0.5">
      <c r="C41" s="40" t="s">
        <v>55</v>
      </c>
      <c r="D41" s="40"/>
      <c r="E41" s="41">
        <f>SUM(E35:E40)</f>
        <v>76333333.333333328</v>
      </c>
      <c r="F41" s="41">
        <f t="shared" ref="F41:P41" si="7">SUM(F35:F40)</f>
        <v>152711666.66666666</v>
      </c>
      <c r="G41" s="41">
        <f t="shared" si="7"/>
        <v>189135675</v>
      </c>
      <c r="H41" s="41">
        <f t="shared" si="7"/>
        <v>212272710.125</v>
      </c>
      <c r="I41" s="41">
        <f t="shared" si="7"/>
        <v>215456800.77687499</v>
      </c>
      <c r="J41" s="41">
        <f t="shared" si="7"/>
        <v>218688652.78852811</v>
      </c>
      <c r="K41" s="41">
        <f t="shared" si="7"/>
        <v>221968982.58035603</v>
      </c>
      <c r="L41" s="41">
        <f t="shared" si="7"/>
        <v>225298517.31906137</v>
      </c>
      <c r="M41" s="41">
        <f t="shared" si="7"/>
        <v>228677995.07884729</v>
      </c>
      <c r="N41" s="41">
        <f t="shared" si="7"/>
        <v>232108165.00503001</v>
      </c>
      <c r="O41" s="41">
        <f t="shared" si="7"/>
        <v>235589787.48010546</v>
      </c>
      <c r="P41" s="41">
        <f t="shared" si="7"/>
        <v>239123634.29230705</v>
      </c>
      <c r="Q41" s="41">
        <f t="shared" ref="Q41" si="8">SUM(Q35:Q40)</f>
        <v>242710488.80669165</v>
      </c>
    </row>
    <row r="42" spans="1:17" x14ac:dyDescent="0.5">
      <c r="C42" t="s">
        <v>56</v>
      </c>
      <c r="E42" s="22">
        <f>MAX($D$24-$D$25*(E$34-$D$26),$D$29)</f>
        <v>0.5</v>
      </c>
      <c r="F42" s="22">
        <f t="shared" ref="F42:Q42" si="9">MAX($D$24-$D$25*(F$34-$D$26),$D$29)</f>
        <v>0.47</v>
      </c>
      <c r="G42" s="22">
        <f t="shared" si="9"/>
        <v>0.44</v>
      </c>
      <c r="H42" s="22">
        <f t="shared" si="9"/>
        <v>0.41000000000000003</v>
      </c>
      <c r="I42" s="22">
        <f t="shared" si="9"/>
        <v>0.38</v>
      </c>
      <c r="J42" s="22">
        <f t="shared" si="9"/>
        <v>0.35</v>
      </c>
      <c r="K42" s="22">
        <f t="shared" si="9"/>
        <v>0.32</v>
      </c>
      <c r="L42" s="22">
        <f t="shared" si="9"/>
        <v>0.29000000000000004</v>
      </c>
      <c r="M42" s="22">
        <f t="shared" si="9"/>
        <v>0.26</v>
      </c>
      <c r="N42" s="22">
        <f t="shared" si="9"/>
        <v>0.22999999999999998</v>
      </c>
      <c r="O42" s="22">
        <f t="shared" si="9"/>
        <v>0.2</v>
      </c>
      <c r="P42" s="22">
        <f t="shared" si="9"/>
        <v>0.17000000000000004</v>
      </c>
      <c r="Q42" s="22">
        <f t="shared" si="9"/>
        <v>0.15</v>
      </c>
    </row>
    <row r="43" spans="1:17" s="8" customFormat="1" x14ac:dyDescent="0.5">
      <c r="A43" s="60"/>
      <c r="B43" s="60"/>
      <c r="C43" s="32" t="s">
        <v>57</v>
      </c>
      <c r="D43" s="32"/>
      <c r="E43" s="72">
        <f>E41*(1-E42)</f>
        <v>38166666.666666664</v>
      </c>
      <c r="F43" s="72">
        <f t="shared" ref="F43:P43" si="10">F41*(1-F42)</f>
        <v>80937183.333333328</v>
      </c>
      <c r="G43" s="72">
        <f t="shared" si="10"/>
        <v>105915978.00000001</v>
      </c>
      <c r="H43" s="72">
        <f t="shared" si="10"/>
        <v>125240898.97375</v>
      </c>
      <c r="I43" s="72">
        <f t="shared" si="10"/>
        <v>133583216.4816625</v>
      </c>
      <c r="J43" s="72">
        <f t="shared" si="10"/>
        <v>142147624.31254327</v>
      </c>
      <c r="K43" s="72">
        <f t="shared" si="10"/>
        <v>150938908.15464208</v>
      </c>
      <c r="L43" s="72">
        <f t="shared" si="10"/>
        <v>159961947.29653355</v>
      </c>
      <c r="M43" s="72">
        <f t="shared" si="10"/>
        <v>169221716.358347</v>
      </c>
      <c r="N43" s="72">
        <f t="shared" si="10"/>
        <v>178723287.05387312</v>
      </c>
      <c r="O43" s="72">
        <f t="shared" si="10"/>
        <v>188471829.98408437</v>
      </c>
      <c r="P43" s="72">
        <f t="shared" si="10"/>
        <v>198472616.46261483</v>
      </c>
      <c r="Q43" s="72">
        <f t="shared" ref="Q43" si="11">Q41*(1-Q42)</f>
        <v>206303915.48568788</v>
      </c>
    </row>
    <row r="44" spans="1:17" x14ac:dyDescent="0.5">
      <c r="G44" s="10"/>
      <c r="I44" s="10"/>
      <c r="J44" s="10"/>
      <c r="K44" s="10"/>
    </row>
    <row r="45" spans="1:17" s="8" customFormat="1" x14ac:dyDescent="0.5">
      <c r="A45" s="60"/>
      <c r="B45" s="60"/>
      <c r="C45" s="78" t="s">
        <v>94</v>
      </c>
      <c r="D45" s="79"/>
      <c r="E45" s="78">
        <f>$D$26</f>
        <v>2019</v>
      </c>
      <c r="F45" s="78">
        <f>E45+1</f>
        <v>2020</v>
      </c>
      <c r="G45" s="78">
        <f t="shared" ref="G45:Q45" si="12">F45+1</f>
        <v>2021</v>
      </c>
      <c r="H45" s="78">
        <f t="shared" si="12"/>
        <v>2022</v>
      </c>
      <c r="I45" s="78">
        <f t="shared" si="12"/>
        <v>2023</v>
      </c>
      <c r="J45" s="78">
        <f t="shared" si="12"/>
        <v>2024</v>
      </c>
      <c r="K45" s="78">
        <f t="shared" si="12"/>
        <v>2025</v>
      </c>
      <c r="L45" s="78">
        <f t="shared" si="12"/>
        <v>2026</v>
      </c>
      <c r="M45" s="78">
        <f t="shared" si="12"/>
        <v>2027</v>
      </c>
      <c r="N45" s="78">
        <f t="shared" si="12"/>
        <v>2028</v>
      </c>
      <c r="O45" s="78">
        <f t="shared" si="12"/>
        <v>2029</v>
      </c>
      <c r="P45" s="78">
        <f t="shared" si="12"/>
        <v>2030</v>
      </c>
      <c r="Q45" s="78">
        <f t="shared" si="12"/>
        <v>2031</v>
      </c>
    </row>
    <row r="46" spans="1:17" ht="5" customHeight="1" x14ac:dyDescent="0.5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x14ac:dyDescent="0.5">
      <c r="C47" s="14" t="str">
        <f>$F$16</f>
        <v>Arbitrage</v>
      </c>
      <c r="D47" s="14"/>
      <c r="E47" s="4">
        <f t="shared" ref="E47:Q47" si="13">$G$16/(1+EXP(-$K$16*(E$45-$H$16)))</f>
        <v>3.694414140896269E-2</v>
      </c>
      <c r="F47" s="4">
        <f t="shared" si="13"/>
        <v>8.1779485652700754E-2</v>
      </c>
      <c r="G47" s="4">
        <f t="shared" si="13"/>
        <v>0.15</v>
      </c>
      <c r="H47" s="4">
        <f t="shared" si="13"/>
        <v>0.21822051434729922</v>
      </c>
      <c r="I47" s="4">
        <f t="shared" si="13"/>
        <v>0.26305585859103731</v>
      </c>
      <c r="J47" s="4">
        <f t="shared" si="13"/>
        <v>0.28499999999999992</v>
      </c>
      <c r="K47" s="4">
        <f t="shared" si="13"/>
        <v>0.29419725069004943</v>
      </c>
      <c r="L47" s="4">
        <f t="shared" si="13"/>
        <v>0.29779876257880156</v>
      </c>
      <c r="M47" s="4">
        <f t="shared" si="13"/>
        <v>0.29917127071823202</v>
      </c>
      <c r="N47" s="4">
        <f t="shared" si="13"/>
        <v>0.29968889123793607</v>
      </c>
      <c r="O47" s="4">
        <f t="shared" si="13"/>
        <v>0.29988333442425985</v>
      </c>
      <c r="P47" s="4">
        <f t="shared" si="13"/>
        <v>0.29995626822157434</v>
      </c>
      <c r="Q47" s="4">
        <f t="shared" si="13"/>
        <v>0.29998360975205002</v>
      </c>
    </row>
    <row r="48" spans="1:17" x14ac:dyDescent="0.5">
      <c r="C48" s="14" t="str">
        <f>$F$17</f>
        <v>Gaming Point of Sale</v>
      </c>
      <c r="D48" s="14"/>
      <c r="E48" s="4">
        <f t="shared" ref="E48:Q48" si="14">$G$17/(1+EXP(-$K$17*(E$45-$H$17)))</f>
        <v>2.9013746549752606E-3</v>
      </c>
      <c r="F48" s="4">
        <f t="shared" si="14"/>
        <v>7.5000000000000075E-3</v>
      </c>
      <c r="G48" s="4">
        <f t="shared" si="14"/>
        <v>1.8472070704481345E-2</v>
      </c>
      <c r="H48" s="4">
        <f t="shared" si="14"/>
        <v>4.0889742826350377E-2</v>
      </c>
      <c r="I48" s="4">
        <f t="shared" si="14"/>
        <v>7.4999999999999997E-2</v>
      </c>
      <c r="J48" s="4">
        <f t="shared" si="14"/>
        <v>0.10911025717364961</v>
      </c>
      <c r="K48" s="4">
        <f t="shared" si="14"/>
        <v>0.13152792929551865</v>
      </c>
      <c r="L48" s="4">
        <f t="shared" si="14"/>
        <v>0.14249999999999996</v>
      </c>
      <c r="M48" s="4">
        <f t="shared" si="14"/>
        <v>0.14709862534502471</v>
      </c>
      <c r="N48" s="4">
        <f t="shared" si="14"/>
        <v>0.14889938128940078</v>
      </c>
      <c r="O48" s="4">
        <f t="shared" si="14"/>
        <v>0.14958563535911601</v>
      </c>
      <c r="P48" s="4">
        <f t="shared" si="14"/>
        <v>0.14984444561896804</v>
      </c>
      <c r="Q48" s="4">
        <f t="shared" si="14"/>
        <v>0.14994166721212993</v>
      </c>
    </row>
    <row r="49" spans="3:17" x14ac:dyDescent="0.5">
      <c r="C49" s="14" t="str">
        <f>$F$18</f>
        <v>IoT</v>
      </c>
      <c r="D49" s="14"/>
      <c r="E49" s="4">
        <f t="shared" ref="E49:Q49" si="15">$G$18/(1+EXP(-$K$18*(E$45-$H$18)))</f>
        <v>1.2294632013309383E-3</v>
      </c>
      <c r="F49" s="4">
        <f t="shared" si="15"/>
        <v>2.5000000000000027E-3</v>
      </c>
      <c r="G49" s="4">
        <f t="shared" si="15"/>
        <v>4.9502505348558556E-3</v>
      </c>
      <c r="H49" s="4">
        <f t="shared" si="15"/>
        <v>9.3302748431685414E-3</v>
      </c>
      <c r="I49" s="4">
        <f t="shared" si="15"/>
        <v>1.6192771027269695E-2</v>
      </c>
      <c r="J49" s="4">
        <f t="shared" si="15"/>
        <v>2.5000000000000001E-2</v>
      </c>
      <c r="K49" s="4">
        <f t="shared" si="15"/>
        <v>3.3807228972730308E-2</v>
      </c>
      <c r="L49" s="4">
        <f t="shared" si="15"/>
        <v>4.0669725156831461E-2</v>
      </c>
      <c r="M49" s="4">
        <f t="shared" si="15"/>
        <v>4.5049749465144152E-2</v>
      </c>
      <c r="N49" s="4">
        <f t="shared" si="15"/>
        <v>4.7499999999999994E-2</v>
      </c>
      <c r="O49" s="4">
        <f t="shared" si="15"/>
        <v>4.8770536798669072E-2</v>
      </c>
      <c r="P49" s="4">
        <f t="shared" si="15"/>
        <v>4.9403477107558526E-2</v>
      </c>
      <c r="Q49" s="4">
        <f t="shared" si="15"/>
        <v>4.9712494106995887E-2</v>
      </c>
    </row>
    <row r="50" spans="3:17" x14ac:dyDescent="0.5">
      <c r="C50" s="14" t="str">
        <f>$F$19</f>
        <v>Content Monetization</v>
      </c>
      <c r="D50" s="14"/>
      <c r="E50" s="4">
        <f t="shared" ref="E50:Q50" si="16">$G$19/(1+EXP(-$K$19*(E$45-$H$19)))</f>
        <v>1.2294632013309383E-3</v>
      </c>
      <c r="F50" s="4">
        <f t="shared" si="16"/>
        <v>2.5000000000000027E-3</v>
      </c>
      <c r="G50" s="4">
        <f t="shared" si="16"/>
        <v>4.9502505348558556E-3</v>
      </c>
      <c r="H50" s="4">
        <f t="shared" si="16"/>
        <v>9.3302748431685414E-3</v>
      </c>
      <c r="I50" s="4">
        <f t="shared" si="16"/>
        <v>1.6192771027269695E-2</v>
      </c>
      <c r="J50" s="4">
        <f t="shared" si="16"/>
        <v>2.5000000000000001E-2</v>
      </c>
      <c r="K50" s="4">
        <f t="shared" si="16"/>
        <v>3.3807228972730308E-2</v>
      </c>
      <c r="L50" s="4">
        <f t="shared" si="16"/>
        <v>4.0669725156831461E-2</v>
      </c>
      <c r="M50" s="4">
        <f t="shared" si="16"/>
        <v>4.5049749465144152E-2</v>
      </c>
      <c r="N50" s="4">
        <f t="shared" si="16"/>
        <v>4.7499999999999994E-2</v>
      </c>
      <c r="O50" s="4">
        <f t="shared" si="16"/>
        <v>4.8770536798669072E-2</v>
      </c>
      <c r="P50" s="4">
        <f t="shared" si="16"/>
        <v>4.9403477107558526E-2</v>
      </c>
      <c r="Q50" s="4">
        <f t="shared" si="16"/>
        <v>4.9712494106995887E-2</v>
      </c>
    </row>
    <row r="51" spans="3:17" x14ac:dyDescent="0.5">
      <c r="C51" s="14" t="str">
        <f>$F$20</f>
        <v>P2P Payments</v>
      </c>
      <c r="D51" s="14"/>
      <c r="E51" s="4">
        <f t="shared" ref="E51:Q51" si="17">$G$20/(1+EXP(-$K$20*(E$45-$H$20)))</f>
        <v>5.9652289244147634E-4</v>
      </c>
      <c r="F51" s="4">
        <f t="shared" si="17"/>
        <v>1.2294632013309383E-3</v>
      </c>
      <c r="G51" s="4">
        <f t="shared" si="17"/>
        <v>2.5000000000000027E-3</v>
      </c>
      <c r="H51" s="4">
        <f t="shared" si="17"/>
        <v>4.9502505348558556E-3</v>
      </c>
      <c r="I51" s="4">
        <f t="shared" si="17"/>
        <v>9.3302748431685414E-3</v>
      </c>
      <c r="J51" s="4">
        <f t="shared" si="17"/>
        <v>1.6192771027269695E-2</v>
      </c>
      <c r="K51" s="4">
        <f t="shared" si="17"/>
        <v>2.5000000000000001E-2</v>
      </c>
      <c r="L51" s="4">
        <f t="shared" si="17"/>
        <v>3.3807228972730308E-2</v>
      </c>
      <c r="M51" s="4">
        <f t="shared" si="17"/>
        <v>4.0669725156831461E-2</v>
      </c>
      <c r="N51" s="4">
        <f t="shared" si="17"/>
        <v>4.5049749465144152E-2</v>
      </c>
      <c r="O51" s="4">
        <f t="shared" si="17"/>
        <v>4.7499999999999994E-2</v>
      </c>
      <c r="P51" s="4">
        <f t="shared" si="17"/>
        <v>4.8770536798669072E-2</v>
      </c>
      <c r="Q51" s="4">
        <f t="shared" si="17"/>
        <v>4.9403477107558526E-2</v>
      </c>
    </row>
    <row r="52" spans="3:17" x14ac:dyDescent="0.5">
      <c r="C52" s="14" t="str">
        <f>$F$21</f>
        <v>Point of Sale</v>
      </c>
      <c r="D52" s="14"/>
      <c r="E52" s="4">
        <f t="shared" ref="E52:Q52" si="18">$G$21/(1+EXP(-$K$21*(E$45-$H$21)))</f>
        <v>5.9652289244147634E-4</v>
      </c>
      <c r="F52" s="4">
        <f t="shared" si="18"/>
        <v>1.2294632013309383E-3</v>
      </c>
      <c r="G52" s="4">
        <f t="shared" si="18"/>
        <v>2.5000000000000027E-3</v>
      </c>
      <c r="H52" s="4">
        <f t="shared" si="18"/>
        <v>4.9502505348558556E-3</v>
      </c>
      <c r="I52" s="4">
        <f t="shared" si="18"/>
        <v>9.3302748431685414E-3</v>
      </c>
      <c r="J52" s="4">
        <f t="shared" si="18"/>
        <v>1.6192771027269695E-2</v>
      </c>
      <c r="K52" s="4">
        <f t="shared" si="18"/>
        <v>2.5000000000000001E-2</v>
      </c>
      <c r="L52" s="4">
        <f t="shared" si="18"/>
        <v>3.3807228972730308E-2</v>
      </c>
      <c r="M52" s="4">
        <f t="shared" si="18"/>
        <v>4.0669725156831461E-2</v>
      </c>
      <c r="N52" s="4">
        <f t="shared" si="18"/>
        <v>4.5049749465144152E-2</v>
      </c>
      <c r="O52" s="4">
        <f t="shared" si="18"/>
        <v>4.7499999999999994E-2</v>
      </c>
      <c r="P52" s="4">
        <f t="shared" si="18"/>
        <v>4.8770536798669072E-2</v>
      </c>
      <c r="Q52" s="4">
        <f t="shared" si="18"/>
        <v>4.9403477107558526E-2</v>
      </c>
    </row>
    <row r="53" spans="3:17" x14ac:dyDescent="0.5">
      <c r="C53" s="14" t="str">
        <f>$F$22</f>
        <v>Game Token Transactions</v>
      </c>
      <c r="D53" s="14"/>
      <c r="E53" s="4">
        <f t="shared" ref="E53:Q53" si="19">$G$22/(1+EXP(-$K$22*(E$45-$H$22)))</f>
        <v>1.0000000000000011E-2</v>
      </c>
      <c r="F53" s="4">
        <f t="shared" si="19"/>
        <v>2.462942760597513E-2</v>
      </c>
      <c r="G53" s="4">
        <f t="shared" si="19"/>
        <v>5.4519657101800505E-2</v>
      </c>
      <c r="H53" s="4">
        <f t="shared" si="19"/>
        <v>0.1</v>
      </c>
      <c r="I53" s="4">
        <f t="shared" si="19"/>
        <v>0.1454803428981995</v>
      </c>
      <c r="J53" s="4">
        <f t="shared" si="19"/>
        <v>0.17537057239402487</v>
      </c>
      <c r="K53" s="4">
        <f t="shared" si="19"/>
        <v>0.18999999999999997</v>
      </c>
      <c r="L53" s="4">
        <f t="shared" si="19"/>
        <v>0.196131500460033</v>
      </c>
      <c r="M53" s="4">
        <f t="shared" si="19"/>
        <v>0.19853250838586772</v>
      </c>
      <c r="N53" s="4">
        <f t="shared" si="19"/>
        <v>0.19944751381215473</v>
      </c>
      <c r="O53" s="4">
        <f t="shared" si="19"/>
        <v>0.19979259415862408</v>
      </c>
      <c r="P53" s="4">
        <f t="shared" si="19"/>
        <v>0.19992222294950657</v>
      </c>
      <c r="Q53" s="4">
        <f t="shared" si="19"/>
        <v>0.1999708454810496</v>
      </c>
    </row>
    <row r="54" spans="3:17" x14ac:dyDescent="0.5">
      <c r="C54" s="14" t="str">
        <f>$F$23</f>
        <v>Remittances</v>
      </c>
      <c r="D54" s="107"/>
      <c r="E54" s="121">
        <f t="shared" ref="E54:Q54" si="20">$G$23/(1+EXP(-$K$23*(E$45-$H$23)))</f>
        <v>9.8357056106475067E-4</v>
      </c>
      <c r="F54" s="121">
        <f t="shared" si="20"/>
        <v>2.0000000000000022E-3</v>
      </c>
      <c r="G54" s="121">
        <f t="shared" si="20"/>
        <v>3.9602004278846839E-3</v>
      </c>
      <c r="H54" s="121">
        <f t="shared" si="20"/>
        <v>7.4642198745348337E-3</v>
      </c>
      <c r="I54" s="121">
        <f t="shared" si="20"/>
        <v>1.2954216821815755E-2</v>
      </c>
      <c r="J54" s="121">
        <f t="shared" si="20"/>
        <v>0.02</v>
      </c>
      <c r="K54" s="121">
        <f t="shared" si="20"/>
        <v>2.7045783178184245E-2</v>
      </c>
      <c r="L54" s="121">
        <f t="shared" si="20"/>
        <v>3.2535780125465166E-2</v>
      </c>
      <c r="M54" s="121">
        <f t="shared" si="20"/>
        <v>3.6039799572115318E-2</v>
      </c>
      <c r="N54" s="121">
        <f t="shared" si="20"/>
        <v>3.7999999999999992E-2</v>
      </c>
      <c r="O54" s="121">
        <f t="shared" si="20"/>
        <v>3.9016429438935255E-2</v>
      </c>
      <c r="P54" s="121">
        <f t="shared" si="20"/>
        <v>3.9522781686046823E-2</v>
      </c>
      <c r="Q54" s="121">
        <f t="shared" si="20"/>
        <v>3.9769995285596708E-2</v>
      </c>
    </row>
    <row r="55" spans="3:17" x14ac:dyDescent="0.5">
      <c r="C55" s="118" t="s">
        <v>58</v>
      </c>
      <c r="D55" s="118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</row>
    <row r="56" spans="3:17" x14ac:dyDescent="0.5">
      <c r="D56" s="16" t="s">
        <v>87</v>
      </c>
    </row>
    <row r="57" spans="3:17" x14ac:dyDescent="0.5">
      <c r="C57" s="14" t="str">
        <f>$F$16</f>
        <v>Arbitrage</v>
      </c>
      <c r="D57" s="15">
        <f ca="1">IFERROR((Q57/E57)^(1/12)-1, "NA")</f>
        <v>0.10000000000000009</v>
      </c>
      <c r="E57" s="35">
        <f ca="1">OFFSET('TAM Assumptions'!$D$3,MATCH(Model!$C57,'TAM Assumptions'!$C$4:$C$10,0),MATCH(Model!E$45,'TAM Assumptions'!$E$3:$R$3,0))*10^9</f>
        <v>363000000000.00006</v>
      </c>
      <c r="F57" s="35">
        <f ca="1">OFFSET('TAM Assumptions'!$D$3,MATCH(Model!$C57,'TAM Assumptions'!$C$4:$C$10,0),MATCH(Model!F$45,'TAM Assumptions'!$E$3:$R$3,0))*10^9</f>
        <v>399300000000.00006</v>
      </c>
      <c r="G57" s="35">
        <f ca="1">OFFSET('TAM Assumptions'!$D$3,MATCH(Model!$C57,'TAM Assumptions'!$C$4:$C$10,0),MATCH(Model!G$45,'TAM Assumptions'!$E$3:$R$3,0))*10^9</f>
        <v>439230000000.00012</v>
      </c>
      <c r="H57" s="35">
        <f ca="1">OFFSET('TAM Assumptions'!$D$3,MATCH(Model!$C57,'TAM Assumptions'!$C$4:$C$10,0),MATCH(Model!H$45,'TAM Assumptions'!$E$3:$R$3,0))*10^9</f>
        <v>483153000000.00018</v>
      </c>
      <c r="I57" s="35">
        <f ca="1">OFFSET('TAM Assumptions'!$D$3,MATCH(Model!$C57,'TAM Assumptions'!$C$4:$C$10,0),MATCH(Model!I$45,'TAM Assumptions'!$E$3:$R$3,0))*10^9</f>
        <v>531468300000.00024</v>
      </c>
      <c r="J57" s="35">
        <f ca="1">OFFSET('TAM Assumptions'!$D$3,MATCH(Model!$C57,'TAM Assumptions'!$C$4:$C$10,0),MATCH(Model!J$45,'TAM Assumptions'!$E$3:$R$3,0))*10^9</f>
        <v>584615130000.00024</v>
      </c>
      <c r="K57" s="35">
        <f ca="1">OFFSET('TAM Assumptions'!$D$3,MATCH(Model!$C57,'TAM Assumptions'!$C$4:$C$10,0),MATCH(Model!K$45,'TAM Assumptions'!$E$3:$R$3,0))*10^9</f>
        <v>643076643000.00037</v>
      </c>
      <c r="L57" s="35">
        <f ca="1">OFFSET('TAM Assumptions'!$D$3,MATCH(Model!$C57,'TAM Assumptions'!$C$4:$C$10,0),MATCH(Model!L$45,'TAM Assumptions'!$E$3:$R$3,0))*10^9</f>
        <v>707384307300.00037</v>
      </c>
      <c r="M57" s="35">
        <f ca="1">OFFSET('TAM Assumptions'!$D$3,MATCH(Model!$C57,'TAM Assumptions'!$C$4:$C$10,0),MATCH(Model!M$45,'TAM Assumptions'!$E$3:$R$3,0))*10^9</f>
        <v>778122738030.00049</v>
      </c>
      <c r="N57" s="35">
        <f ca="1">OFFSET('TAM Assumptions'!$D$3,MATCH(Model!$C57,'TAM Assumptions'!$C$4:$C$10,0),MATCH(Model!N$45,'TAM Assumptions'!$E$3:$R$3,0))*10^9</f>
        <v>855935011833.00061</v>
      </c>
      <c r="O57" s="35">
        <f ca="1">OFFSET('TAM Assumptions'!$D$3,MATCH(Model!$C57,'TAM Assumptions'!$C$4:$C$10,0),MATCH(Model!O$45,'TAM Assumptions'!$E$3:$R$3,0))*10^9</f>
        <v>941528513016.3009</v>
      </c>
      <c r="P57" s="35">
        <f ca="1">OFFSET('TAM Assumptions'!$D$3,MATCH(Model!$C57,'TAM Assumptions'!$C$4:$C$10,0),MATCH(Model!P$45,'TAM Assumptions'!$E$3:$R$3,0))*10^9</f>
        <v>1035681364317.9309</v>
      </c>
      <c r="Q57" s="35">
        <f ca="1">OFFSET('TAM Assumptions'!$D$3,MATCH(Model!$C57,'TAM Assumptions'!$C$4:$C$10,0),MATCH(Model!Q$45,'TAM Assumptions'!$E$3:$S$3,0))*10^9</f>
        <v>1139249500749.7241</v>
      </c>
    </row>
    <row r="58" spans="3:17" x14ac:dyDescent="0.5">
      <c r="C58" s="14" t="str">
        <f>$F$17</f>
        <v>Gaming Point of Sale</v>
      </c>
      <c r="D58" s="15">
        <f t="shared" ref="D58:D64" ca="1" si="21">IFERROR((Q58/E58)^(1/12)-1, "NA")</f>
        <v>8.0000000000000071E-2</v>
      </c>
      <c r="E58" s="35">
        <f ca="1">OFFSET('TAM Assumptions'!$D$3,MATCH(Model!$C58,'TAM Assumptions'!$C$4:$C$10,0),MATCH(Model!E$45,'TAM Assumptions'!$E$3:$R$3,0))*10^9</f>
        <v>69984000000.000031</v>
      </c>
      <c r="F58" s="35">
        <f ca="1">OFFSET('TAM Assumptions'!$D$3,MATCH(Model!$C58,'TAM Assumptions'!$C$4:$C$10,0),MATCH(Model!F$45,'TAM Assumptions'!$E$3:$R$3,0))*10^9</f>
        <v>75582720000.000031</v>
      </c>
      <c r="G58" s="35">
        <f ca="1">OFFSET('TAM Assumptions'!$D$3,MATCH(Model!$C58,'TAM Assumptions'!$C$4:$C$10,0),MATCH(Model!G$45,'TAM Assumptions'!$E$3:$R$3,0))*10^9</f>
        <v>81629337600.000031</v>
      </c>
      <c r="H58" s="35">
        <f ca="1">OFFSET('TAM Assumptions'!$D$3,MATCH(Model!$C58,'TAM Assumptions'!$C$4:$C$10,0),MATCH(Model!H$45,'TAM Assumptions'!$E$3:$R$3,0))*10^9</f>
        <v>88159684608.000031</v>
      </c>
      <c r="I58" s="35">
        <f ca="1">OFFSET('TAM Assumptions'!$D$3,MATCH(Model!$C58,'TAM Assumptions'!$C$4:$C$10,0),MATCH(Model!I$45,'TAM Assumptions'!$E$3:$R$3,0))*10^9</f>
        <v>95212459376.640045</v>
      </c>
      <c r="J58" s="35">
        <f ca="1">OFFSET('TAM Assumptions'!$D$3,MATCH(Model!$C58,'TAM Assumptions'!$C$4:$C$10,0),MATCH(Model!J$45,'TAM Assumptions'!$E$3:$R$3,0))*10^9</f>
        <v>102829456126.77126</v>
      </c>
      <c r="K58" s="35">
        <f ca="1">OFFSET('TAM Assumptions'!$D$3,MATCH(Model!$C58,'TAM Assumptions'!$C$4:$C$10,0),MATCH(Model!K$45,'TAM Assumptions'!$E$3:$R$3,0))*10^9</f>
        <v>111055812616.91296</v>
      </c>
      <c r="L58" s="35">
        <f ca="1">OFFSET('TAM Assumptions'!$D$3,MATCH(Model!$C58,'TAM Assumptions'!$C$4:$C$10,0),MATCH(Model!L$45,'TAM Assumptions'!$E$3:$R$3,0))*10^9</f>
        <v>119940277626.26601</v>
      </c>
      <c r="M58" s="35">
        <f ca="1">OFFSET('TAM Assumptions'!$D$3,MATCH(Model!$C58,'TAM Assumptions'!$C$4:$C$10,0),MATCH(Model!M$45,'TAM Assumptions'!$E$3:$R$3,0))*10^9</f>
        <v>129535499836.36731</v>
      </c>
      <c r="N58" s="35">
        <f ca="1">OFFSET('TAM Assumptions'!$D$3,MATCH(Model!$C58,'TAM Assumptions'!$C$4:$C$10,0),MATCH(Model!N$45,'TAM Assumptions'!$E$3:$R$3,0))*10^9</f>
        <v>139898339823.2767</v>
      </c>
      <c r="O58" s="35">
        <f ca="1">OFFSET('TAM Assumptions'!$D$3,MATCH(Model!$C58,'TAM Assumptions'!$C$4:$C$10,0),MATCH(Model!O$45,'TAM Assumptions'!$E$3:$R$3,0))*10^9</f>
        <v>151090207009.13885</v>
      </c>
      <c r="P58" s="35">
        <f ca="1">OFFSET('TAM Assumptions'!$D$3,MATCH(Model!$C58,'TAM Assumptions'!$C$4:$C$10,0),MATCH(Model!P$45,'TAM Assumptions'!$E$3:$R$3,0))*10^9</f>
        <v>163177423569.86996</v>
      </c>
      <c r="Q58" s="35">
        <f ca="1">OFFSET('TAM Assumptions'!$D$3,MATCH(Model!$C58,'TAM Assumptions'!$C$4:$C$10,0),MATCH(Model!Q$45,'TAM Assumptions'!$E$3:$S$3,0))*10^9</f>
        <v>176231617455.45956</v>
      </c>
    </row>
    <row r="59" spans="3:17" x14ac:dyDescent="0.5">
      <c r="C59" s="14" t="str">
        <f>$F$18</f>
        <v>IoT</v>
      </c>
      <c r="D59" s="15" t="str">
        <f t="shared" ca="1" si="21"/>
        <v>NA</v>
      </c>
      <c r="E59" s="35">
        <f ca="1">OFFSET('TAM Assumptions'!$D$3,MATCH(Model!$C59,'TAM Assumptions'!$C$4:$C$10,0),MATCH(Model!E$45,'TAM Assumptions'!$E$3:$R$3,0))*10^9</f>
        <v>0</v>
      </c>
      <c r="F59" s="35">
        <f ca="1">OFFSET('TAM Assumptions'!$D$3,MATCH(Model!$C59,'TAM Assumptions'!$C$4:$C$10,0),MATCH(Model!F$45,'TAM Assumptions'!$E$3:$R$3,0))*10^9</f>
        <v>22725627749.999996</v>
      </c>
      <c r="G59" s="35">
        <f ca="1">OFFSET('TAM Assumptions'!$D$3,MATCH(Model!$C59,'TAM Assumptions'!$C$4:$C$10,0),MATCH(Model!G$45,'TAM Assumptions'!$E$3:$R$3,0))*10^9</f>
        <v>51359918714.999985</v>
      </c>
      <c r="H59" s="35">
        <f ca="1">OFFSET('TAM Assumptions'!$D$3,MATCH(Model!$C59,'TAM Assumptions'!$C$4:$C$10,0),MATCH(Model!H$45,'TAM Assumptions'!$E$3:$R$3,0))*10^9</f>
        <v>87055062221.924973</v>
      </c>
      <c r="I59" s="35">
        <f ca="1">OFFSET('TAM Assumptions'!$D$3,MATCH(Model!$C59,'TAM Assumptions'!$C$4:$C$10,0),MATCH(Model!I$45,'TAM Assumptions'!$E$3:$R$3,0))*10^9</f>
        <v>131162960414.36693</v>
      </c>
      <c r="J59" s="35">
        <f ca="1">OFFSET('TAM Assumptions'!$D$3,MATCH(Model!$C59,'TAM Assumptions'!$C$4:$C$10,0),MATCH(Model!J$45,'TAM Assumptions'!$E$3:$R$3,0))*10^9</f>
        <v>185267681585.29324</v>
      </c>
      <c r="K59" s="35">
        <f ca="1">OFFSET('TAM Assumptions'!$D$3,MATCH(Model!$C59,'TAM Assumptions'!$C$4:$C$10,0),MATCH(Model!K$45,'TAM Assumptions'!$E$3:$R$3,0))*10^9</f>
        <v>251222976229.65759</v>
      </c>
      <c r="L59" s="35">
        <f ca="1">OFFSET('TAM Assumptions'!$D$3,MATCH(Model!$C59,'TAM Assumptions'!$C$4:$C$10,0),MATCH(Model!L$45,'TAM Assumptions'!$E$3:$R$3,0))*10^9</f>
        <v>331195623662.76526</v>
      </c>
      <c r="M59" s="35">
        <f ca="1">OFFSET('TAM Assumptions'!$D$3,MATCH(Model!$C59,'TAM Assumptions'!$C$4:$C$10,0),MATCH(Model!M$45,'TAM Assumptions'!$E$3:$R$3,0))*10^9</f>
        <v>427715491130.19958</v>
      </c>
      <c r="N59" s="35">
        <f ca="1">OFFSET('TAM Assumptions'!$D$3,MATCH(Model!$C59,'TAM Assumptions'!$C$4:$C$10,0),MATCH(Model!N$45,'TAM Assumptions'!$E$3:$R$3,0))*10^9</f>
        <v>543733318099.26617</v>
      </c>
      <c r="O59" s="35">
        <f ca="1">OFFSET('TAM Assumptions'!$D$3,MATCH(Model!$C59,'TAM Assumptions'!$C$4:$C$10,0),MATCH(Model!O$45,'TAM Assumptions'!$E$3:$R$3,0))*10^9</f>
        <v>682687388280.1897</v>
      </c>
      <c r="P59" s="35">
        <f ca="1">OFFSET('TAM Assumptions'!$D$3,MATCH(Model!$C59,'TAM Assumptions'!$C$4:$C$10,0),MATCH(Model!P$45,'TAM Assumptions'!$E$3:$R$3,0))*10^9</f>
        <v>848580423632.27576</v>
      </c>
      <c r="Q59" s="35">
        <f ca="1">OFFSET('TAM Assumptions'!$D$3,MATCH(Model!$C59,'TAM Assumptions'!$C$4:$C$10,0),MATCH(Model!Q$45,'TAM Assumptions'!$E$3:$S$3,0))*10^9</f>
        <v>1046068231313.9689</v>
      </c>
    </row>
    <row r="60" spans="3:17" x14ac:dyDescent="0.5">
      <c r="C60" s="14" t="str">
        <f>$F$19</f>
        <v>Content Monetization</v>
      </c>
      <c r="D60" s="15">
        <f t="shared" ca="1" si="21"/>
        <v>0.10000000000000009</v>
      </c>
      <c r="E60" s="35">
        <f ca="1">OFFSET('TAM Assumptions'!$D$3,MATCH(Model!$C60,'TAM Assumptions'!$C$4:$C$10,0),MATCH(Model!E$45,'TAM Assumptions'!$E$3:$R$3,0))*10^9</f>
        <v>248050000000.00003</v>
      </c>
      <c r="F60" s="35">
        <f ca="1">OFFSET('TAM Assumptions'!$D$3,MATCH(Model!$C60,'TAM Assumptions'!$C$4:$C$10,0),MATCH(Model!F$45,'TAM Assumptions'!$E$3:$R$3,0))*10^9</f>
        <v>272855000000.00006</v>
      </c>
      <c r="G60" s="35">
        <f ca="1">OFFSET('TAM Assumptions'!$D$3,MATCH(Model!$C60,'TAM Assumptions'!$C$4:$C$10,0),MATCH(Model!G$45,'TAM Assumptions'!$E$3:$R$3,0))*10^9</f>
        <v>300140500000.00006</v>
      </c>
      <c r="H60" s="35">
        <f ca="1">OFFSET('TAM Assumptions'!$D$3,MATCH(Model!$C60,'TAM Assumptions'!$C$4:$C$10,0),MATCH(Model!H$45,'TAM Assumptions'!$E$3:$R$3,0))*10^9</f>
        <v>330154550000.00012</v>
      </c>
      <c r="I60" s="35">
        <f ca="1">OFFSET('TAM Assumptions'!$D$3,MATCH(Model!$C60,'TAM Assumptions'!$C$4:$C$10,0),MATCH(Model!I$45,'TAM Assumptions'!$E$3:$R$3,0))*10^9</f>
        <v>363170005000.00018</v>
      </c>
      <c r="J60" s="35">
        <f ca="1">OFFSET('TAM Assumptions'!$D$3,MATCH(Model!$C60,'TAM Assumptions'!$C$4:$C$10,0),MATCH(Model!J$45,'TAM Assumptions'!$E$3:$R$3,0))*10^9</f>
        <v>399487005500.00024</v>
      </c>
      <c r="K60" s="35">
        <f ca="1">OFFSET('TAM Assumptions'!$D$3,MATCH(Model!$C60,'TAM Assumptions'!$C$4:$C$10,0),MATCH(Model!K$45,'TAM Assumptions'!$E$3:$R$3,0))*10^9</f>
        <v>439435706050.00031</v>
      </c>
      <c r="L60" s="35">
        <f ca="1">OFFSET('TAM Assumptions'!$D$3,MATCH(Model!$C60,'TAM Assumptions'!$C$4:$C$10,0),MATCH(Model!L$45,'TAM Assumptions'!$E$3:$R$3,0))*10^9</f>
        <v>483379276655.00037</v>
      </c>
      <c r="M60" s="35">
        <f ca="1">OFFSET('TAM Assumptions'!$D$3,MATCH(Model!$C60,'TAM Assumptions'!$C$4:$C$10,0),MATCH(Model!M$45,'TAM Assumptions'!$E$3:$R$3,0))*10^9</f>
        <v>531717204320.50043</v>
      </c>
      <c r="N60" s="35">
        <f ca="1">OFFSET('TAM Assumptions'!$D$3,MATCH(Model!$C60,'TAM Assumptions'!$C$4:$C$10,0),MATCH(Model!N$45,'TAM Assumptions'!$E$3:$R$3,0))*10^9</f>
        <v>584888924752.55042</v>
      </c>
      <c r="O60" s="35">
        <f ca="1">OFFSET('TAM Assumptions'!$D$3,MATCH(Model!$C60,'TAM Assumptions'!$C$4:$C$10,0),MATCH(Model!O$45,'TAM Assumptions'!$E$3:$R$3,0))*10^9</f>
        <v>643377817227.80554</v>
      </c>
      <c r="P60" s="35">
        <f ca="1">OFFSET('TAM Assumptions'!$D$3,MATCH(Model!$C60,'TAM Assumptions'!$C$4:$C$10,0),MATCH(Model!P$45,'TAM Assumptions'!$E$3:$R$3,0))*10^9</f>
        <v>707715598950.58618</v>
      </c>
      <c r="Q60" s="35">
        <f ca="1">OFFSET('TAM Assumptions'!$D$3,MATCH(Model!$C60,'TAM Assumptions'!$C$4:$C$10,0),MATCH(Model!Q$45,'TAM Assumptions'!$E$3:$S$3,0))*10^9</f>
        <v>778487158845.64478</v>
      </c>
    </row>
    <row r="61" spans="3:17" x14ac:dyDescent="0.5">
      <c r="C61" s="14" t="str">
        <f>$F$20</f>
        <v>P2P Payments</v>
      </c>
      <c r="D61" s="15">
        <f t="shared" ca="1" si="21"/>
        <v>0.18999999999999995</v>
      </c>
      <c r="E61" s="35">
        <f ca="1">OFFSET('TAM Assumptions'!$D$3,MATCH(Model!$C61,'TAM Assumptions'!$C$4:$C$10,0),MATCH(Model!E$45,'TAM Assumptions'!$E$3:$R$3,0))*10^9</f>
        <v>84965999999.999985</v>
      </c>
      <c r="F61" s="35">
        <f ca="1">OFFSET('TAM Assumptions'!$D$3,MATCH(Model!$C61,'TAM Assumptions'!$C$4:$C$10,0),MATCH(Model!F$45,'TAM Assumptions'!$E$3:$R$3,0))*10^9</f>
        <v>101109539999.99997</v>
      </c>
      <c r="G61" s="35">
        <f ca="1">OFFSET('TAM Assumptions'!$D$3,MATCH(Model!$C61,'TAM Assumptions'!$C$4:$C$10,0),MATCH(Model!G$45,'TAM Assumptions'!$E$3:$R$3,0))*10^9</f>
        <v>120320352599.99995</v>
      </c>
      <c r="H61" s="35">
        <f ca="1">OFFSET('TAM Assumptions'!$D$3,MATCH(Model!$C61,'TAM Assumptions'!$C$4:$C$10,0),MATCH(Model!H$45,'TAM Assumptions'!$E$3:$R$3,0))*10^9</f>
        <v>143181219593.99994</v>
      </c>
      <c r="I61" s="35">
        <f ca="1">OFFSET('TAM Assumptions'!$D$3,MATCH(Model!$C61,'TAM Assumptions'!$C$4:$C$10,0),MATCH(Model!I$45,'TAM Assumptions'!$E$3:$R$3,0))*10^9</f>
        <v>170385651316.85992</v>
      </c>
      <c r="J61" s="35">
        <f ca="1">OFFSET('TAM Assumptions'!$D$3,MATCH(Model!$C61,'TAM Assumptions'!$C$4:$C$10,0),MATCH(Model!J$45,'TAM Assumptions'!$E$3:$R$3,0))*10^9</f>
        <v>202758925067.06329</v>
      </c>
      <c r="K61" s="35">
        <f ca="1">OFFSET('TAM Assumptions'!$D$3,MATCH(Model!$C61,'TAM Assumptions'!$C$4:$C$10,0),MATCH(Model!K$45,'TAM Assumptions'!$E$3:$R$3,0))*10^9</f>
        <v>241283120829.8053</v>
      </c>
      <c r="L61" s="35">
        <f ca="1">OFFSET('TAM Assumptions'!$D$3,MATCH(Model!$C61,'TAM Assumptions'!$C$4:$C$10,0),MATCH(Model!L$45,'TAM Assumptions'!$E$3:$R$3,0))*10^9</f>
        <v>287126913787.46832</v>
      </c>
      <c r="M61" s="35">
        <f ca="1">OFFSET('TAM Assumptions'!$D$3,MATCH(Model!$C61,'TAM Assumptions'!$C$4:$C$10,0),MATCH(Model!M$45,'TAM Assumptions'!$E$3:$R$3,0))*10^9</f>
        <v>341681027407.08728</v>
      </c>
      <c r="N61" s="35">
        <f ca="1">OFFSET('TAM Assumptions'!$D$3,MATCH(Model!$C61,'TAM Assumptions'!$C$4:$C$10,0),MATCH(Model!N$45,'TAM Assumptions'!$E$3:$R$3,0))*10^9</f>
        <v>406600422614.43384</v>
      </c>
      <c r="O61" s="35">
        <f ca="1">OFFSET('TAM Assumptions'!$D$3,MATCH(Model!$C61,'TAM Assumptions'!$C$4:$C$10,0),MATCH(Model!O$45,'TAM Assumptions'!$E$3:$R$3,0))*10^9</f>
        <v>483854502911.17627</v>
      </c>
      <c r="P61" s="35">
        <f ca="1">OFFSET('TAM Assumptions'!$D$3,MATCH(Model!$C61,'TAM Assumptions'!$C$4:$C$10,0),MATCH(Model!P$45,'TAM Assumptions'!$E$3:$R$3,0))*10^9</f>
        <v>575786858464.29968</v>
      </c>
      <c r="Q61" s="35">
        <f ca="1">OFFSET('TAM Assumptions'!$D$3,MATCH(Model!$C61,'TAM Assumptions'!$C$4:$C$10,0),MATCH(Model!Q$45,'TAM Assumptions'!$E$3:$S$3,0))*10^9</f>
        <v>685186361572.5166</v>
      </c>
    </row>
    <row r="62" spans="3:17" x14ac:dyDescent="0.5">
      <c r="C62" s="14" t="str">
        <f>$F$21</f>
        <v>Point of Sale</v>
      </c>
      <c r="D62" s="15">
        <f t="shared" ca="1" si="21"/>
        <v>7.0000000000000062E-2</v>
      </c>
      <c r="E62" s="35">
        <f ca="1">OFFSET('TAM Assumptions'!$D$3,MATCH(Model!$C62,'TAM Assumptions'!$C$4:$C$10,0),MATCH(Model!E$45,'TAM Assumptions'!$E$3:$R$3,0))*10^9</f>
        <v>6228256000000</v>
      </c>
      <c r="F62" s="35">
        <f ca="1">OFFSET('TAM Assumptions'!$D$3,MATCH(Model!$C62,'TAM Assumptions'!$C$4:$C$10,0),MATCH(Model!F$45,'TAM Assumptions'!$E$3:$R$3,0))*10^9</f>
        <v>6664233920000.001</v>
      </c>
      <c r="G62" s="35">
        <f ca="1">OFFSET('TAM Assumptions'!$D$3,MATCH(Model!$C62,'TAM Assumptions'!$C$4:$C$10,0),MATCH(Model!G$45,'TAM Assumptions'!$E$3:$R$3,0))*10^9</f>
        <v>7130730294400.001</v>
      </c>
      <c r="H62" s="35">
        <f ca="1">OFFSET('TAM Assumptions'!$D$3,MATCH(Model!$C62,'TAM Assumptions'!$C$4:$C$10,0),MATCH(Model!H$45,'TAM Assumptions'!$E$3:$R$3,0))*10^9</f>
        <v>7629881415008.002</v>
      </c>
      <c r="I62" s="35">
        <f ca="1">OFFSET('TAM Assumptions'!$D$3,MATCH(Model!$C62,'TAM Assumptions'!$C$4:$C$10,0),MATCH(Model!I$45,'TAM Assumptions'!$E$3:$R$3,0))*10^9</f>
        <v>8163973114058.5615</v>
      </c>
      <c r="J62" s="35">
        <f ca="1">OFFSET('TAM Assumptions'!$D$3,MATCH(Model!$C62,'TAM Assumptions'!$C$4:$C$10,0),MATCH(Model!J$45,'TAM Assumptions'!$E$3:$R$3,0))*10^9</f>
        <v>8735451232042.6621</v>
      </c>
      <c r="K62" s="35">
        <f ca="1">OFFSET('TAM Assumptions'!$D$3,MATCH(Model!$C62,'TAM Assumptions'!$C$4:$C$10,0),MATCH(Model!K$45,'TAM Assumptions'!$E$3:$R$3,0))*10^9</f>
        <v>9346932818285.6504</v>
      </c>
      <c r="L62" s="35">
        <f ca="1">OFFSET('TAM Assumptions'!$D$3,MATCH(Model!$C62,'TAM Assumptions'!$C$4:$C$10,0),MATCH(Model!L$45,'TAM Assumptions'!$E$3:$R$3,0))*10^9</f>
        <v>10001218115565.645</v>
      </c>
      <c r="M62" s="35">
        <f ca="1">OFFSET('TAM Assumptions'!$D$3,MATCH(Model!$C62,'TAM Assumptions'!$C$4:$C$10,0),MATCH(Model!M$45,'TAM Assumptions'!$E$3:$R$3,0))*10^9</f>
        <v>10701303383655.24</v>
      </c>
      <c r="N62" s="35">
        <f ca="1">OFFSET('TAM Assumptions'!$D$3,MATCH(Model!$C62,'TAM Assumptions'!$C$4:$C$10,0),MATCH(Model!N$45,'TAM Assumptions'!$E$3:$R$3,0))*10^9</f>
        <v>11450394620511.107</v>
      </c>
      <c r="O62" s="35">
        <f ca="1">OFFSET('TAM Assumptions'!$D$3,MATCH(Model!$C62,'TAM Assumptions'!$C$4:$C$10,0),MATCH(Model!O$45,'TAM Assumptions'!$E$3:$R$3,0))*10^9</f>
        <v>12251922243946.887</v>
      </c>
      <c r="P62" s="35">
        <f ca="1">OFFSET('TAM Assumptions'!$D$3,MATCH(Model!$C62,'TAM Assumptions'!$C$4:$C$10,0),MATCH(Model!P$45,'TAM Assumptions'!$E$3:$R$3,0))*10^9</f>
        <v>13109556801023.17</v>
      </c>
      <c r="Q62" s="35">
        <f ca="1">OFFSET('TAM Assumptions'!$D$3,MATCH(Model!$C62,'TAM Assumptions'!$C$4:$C$10,0),MATCH(Model!Q$45,'TAM Assumptions'!$E$3:$S$3,0))*10^9</f>
        <v>14027225777094.793</v>
      </c>
    </row>
    <row r="63" spans="3:17" x14ac:dyDescent="0.5">
      <c r="C63" s="14" t="str">
        <f>$F$22</f>
        <v>Game Token Transactions</v>
      </c>
      <c r="D63" s="15">
        <f t="shared" ca="1" si="21"/>
        <v>8.0000000000000071E-2</v>
      </c>
      <c r="E63" s="35">
        <f ca="1">OFFSET('TAM Assumptions'!$D$3,MATCH(Model!$C63,'TAM Assumptions'!$C$4:$C$10,0),MATCH(Model!E$45,'TAM Assumptions'!$E$3:$R$3,0))*10^9</f>
        <v>58320000000.000008</v>
      </c>
      <c r="F63" s="35">
        <f ca="1">OFFSET('TAM Assumptions'!$D$3,MATCH(Model!$C63,'TAM Assumptions'!$C$4:$C$10,0),MATCH(Model!F$45,'TAM Assumptions'!$E$3:$R$3,0))*10^9</f>
        <v>62985600000.000015</v>
      </c>
      <c r="G63" s="35">
        <f ca="1">OFFSET('TAM Assumptions'!$D$3,MATCH(Model!$C63,'TAM Assumptions'!$C$4:$C$10,0),MATCH(Model!G$45,'TAM Assumptions'!$E$3:$R$3,0))*10^9</f>
        <v>68024448000.000023</v>
      </c>
      <c r="H63" s="35">
        <f ca="1">OFFSET('TAM Assumptions'!$D$3,MATCH(Model!$C63,'TAM Assumptions'!$C$4:$C$10,0),MATCH(Model!H$45,'TAM Assumptions'!$E$3:$R$3,0))*10^9</f>
        <v>73466403840.000031</v>
      </c>
      <c r="I63" s="35">
        <f ca="1">OFFSET('TAM Assumptions'!$D$3,MATCH(Model!$C63,'TAM Assumptions'!$C$4:$C$10,0),MATCH(Model!I$45,'TAM Assumptions'!$E$3:$R$3,0))*10^9</f>
        <v>79343716147.200027</v>
      </c>
      <c r="J63" s="35">
        <f ca="1">OFFSET('TAM Assumptions'!$D$3,MATCH(Model!$C63,'TAM Assumptions'!$C$4:$C$10,0),MATCH(Model!J$45,'TAM Assumptions'!$E$3:$R$3,0))*10^9</f>
        <v>85691213438.976028</v>
      </c>
      <c r="K63" s="35">
        <f ca="1">OFFSET('TAM Assumptions'!$D$3,MATCH(Model!$C63,'TAM Assumptions'!$C$4:$C$10,0),MATCH(Model!K$45,'TAM Assumptions'!$E$3:$R$3,0))*10^9</f>
        <v>92546510514.094116</v>
      </c>
      <c r="L63" s="35">
        <f ca="1">OFFSET('TAM Assumptions'!$D$3,MATCH(Model!$C63,'TAM Assumptions'!$C$4:$C$10,0),MATCH(Model!L$45,'TAM Assumptions'!$E$3:$R$3,0))*10^9</f>
        <v>99950231355.221664</v>
      </c>
      <c r="M63" s="35">
        <f ca="1">OFFSET('TAM Assumptions'!$D$3,MATCH(Model!$C63,'TAM Assumptions'!$C$4:$C$10,0),MATCH(Model!M$45,'TAM Assumptions'!$E$3:$R$3,0))*10^9</f>
        <v>107946249863.63939</v>
      </c>
      <c r="N63" s="35">
        <f ca="1">OFFSET('TAM Assumptions'!$D$3,MATCH(Model!$C63,'TAM Assumptions'!$C$4:$C$10,0),MATCH(Model!N$45,'TAM Assumptions'!$E$3:$R$3,0))*10^9</f>
        <v>116581949852.73056</v>
      </c>
      <c r="O63" s="35">
        <f ca="1">OFFSET('TAM Assumptions'!$D$3,MATCH(Model!$C63,'TAM Assumptions'!$C$4:$C$10,0),MATCH(Model!O$45,'TAM Assumptions'!$E$3:$R$3,0))*10^9</f>
        <v>125908505840.94902</v>
      </c>
      <c r="P63" s="35">
        <f ca="1">OFFSET('TAM Assumptions'!$D$3,MATCH(Model!$C63,'TAM Assumptions'!$C$4:$C$10,0),MATCH(Model!P$45,'TAM Assumptions'!$E$3:$R$3,0))*10^9</f>
        <v>135981186308.22495</v>
      </c>
      <c r="Q63" s="35">
        <f ca="1">OFFSET('TAM Assumptions'!$D$3,MATCH(Model!$C63,'TAM Assumptions'!$C$4:$C$10,0),MATCH(Model!Q$45,'TAM Assumptions'!$E$3:$S$3,0))*10^9</f>
        <v>146859681212.88293</v>
      </c>
    </row>
    <row r="64" spans="3:17" x14ac:dyDescent="0.5">
      <c r="C64" s="14" t="str">
        <f>$F$23</f>
        <v>Remittances</v>
      </c>
      <c r="D64" s="116">
        <f t="shared" ca="1" si="21"/>
        <v>6.9808027923211169E-2</v>
      </c>
      <c r="E64" s="117">
        <f ca="1">OFFSET('TAM Assumptions'!$D$3,MATCH(Model!$C64,'TAM Assumptions'!$C$4:$C$11,0),MATCH(Model!E$45,'TAM Assumptions'!$E$3:$R$3,0))*10^9</f>
        <v>698138422131.45959</v>
      </c>
      <c r="F64" s="117">
        <f ca="1">OFFSET('TAM Assumptions'!$D$3,MATCH(Model!$C64,'TAM Assumptions'!$C$4:$C$11,0),MATCH(Model!F$45,'TAM Assumptions'!$E$3:$R$3,0))*10^9</f>
        <v>746874088597.87915</v>
      </c>
      <c r="G64" s="117">
        <f ca="1">OFFSET('TAM Assumptions'!$D$3,MATCH(Model!$C64,'TAM Assumptions'!$C$4:$C$11,0),MATCH(Model!G$45,'TAM Assumptions'!$E$3:$R$3,0))*10^9</f>
        <v>799011895829.84277</v>
      </c>
      <c r="H64" s="117">
        <f ca="1">OFFSET('TAM Assumptions'!$D$3,MATCH(Model!$C64,'TAM Assumptions'!$C$4:$C$11,0),MATCH(Model!H$45,'TAM Assumptions'!$E$3:$R$3,0))*10^9</f>
        <v>854789340564.91028</v>
      </c>
      <c r="I64" s="117">
        <f ca="1">OFFSET('TAM Assumptions'!$D$3,MATCH(Model!$C64,'TAM Assumptions'!$C$4:$C$11,0),MATCH(Model!I$45,'TAM Assumptions'!$E$3:$R$3,0))*10^9</f>
        <v>914460498719.52881</v>
      </c>
      <c r="J64" s="117">
        <f ca="1">OFFSET('TAM Assumptions'!$D$3,MATCH(Model!$C64,'TAM Assumptions'!$C$4:$C$11,0),MATCH(Model!J$45,'TAM Assumptions'!$E$3:$R$3,0))*10^9</f>
        <v>978297182748.81531</v>
      </c>
      <c r="K64" s="117">
        <f ca="1">OFFSET('TAM Assumptions'!$D$3,MATCH(Model!$C64,'TAM Assumptions'!$C$4:$C$11,0),MATCH(Model!K$45,'TAM Assumptions'!$E$3:$R$3,0))*10^9</f>
        <v>1046590179799.3434</v>
      </c>
      <c r="L64" s="117">
        <f ca="1">OFFSET('TAM Assumptions'!$D$3,MATCH(Model!$C64,'TAM Assumptions'!$C$4:$C$11,0),MATCH(Model!L$45,'TAM Assumptions'!$E$3:$R$3,0))*10^9</f>
        <v>1119650576294.9346</v>
      </c>
      <c r="M64" s="117">
        <f ca="1">OFFSET('TAM Assumptions'!$D$3,MATCH(Model!$C64,'TAM Assumptions'!$C$4:$C$11,0),MATCH(Model!M$45,'TAM Assumptions'!$E$3:$R$3,0))*10^9</f>
        <v>1197811174989.1709</v>
      </c>
      <c r="N64" s="117">
        <f ca="1">OFFSET('TAM Assumptions'!$D$3,MATCH(Model!$C64,'TAM Assumptions'!$C$4:$C$11,0),MATCH(Model!N$45,'TAM Assumptions'!$E$3:$R$3,0))*10^9</f>
        <v>1281428010939.5493</v>
      </c>
      <c r="O64" s="117">
        <f ca="1">OFFSET('TAM Assumptions'!$D$3,MATCH(Model!$C64,'TAM Assumptions'!$C$4:$C$11,0),MATCH(Model!O$45,'TAM Assumptions'!$E$3:$R$3,0))*10^9</f>
        <v>1370881973308.8022</v>
      </c>
      <c r="P64" s="117">
        <f ca="1">OFFSET('TAM Assumptions'!$D$3,MATCH(Model!$C64,'TAM Assumptions'!$C$4:$C$11,0),MATCH(Model!P$45,'TAM Assumptions'!$E$3:$R$3,0))*10^9</f>
        <v>1466580540380.97</v>
      </c>
      <c r="Q64" s="117">
        <f ca="1">OFFSET('TAM Assumptions'!$D$3,MATCH(Model!$C64,'TAM Assumptions'!$C$4:$C$11,0),MATCH(Model!Q$45,'TAM Assumptions'!$E$3:$S$3,0))*10^9</f>
        <v>1568959635695.5227</v>
      </c>
    </row>
    <row r="65" spans="1:17" x14ac:dyDescent="0.5">
      <c r="C65" s="118" t="s">
        <v>59</v>
      </c>
      <c r="D65" s="119">
        <f ca="1">(Q65/E65)^(1/12)-1</f>
        <v>8.0233283284170787E-2</v>
      </c>
      <c r="E65" s="120">
        <f ca="1">SUM(E57:E64)</f>
        <v>7750714422131.46</v>
      </c>
      <c r="F65" s="120">
        <f t="shared" ref="F65:P65" ca="1" si="22">SUM(F57:F64)</f>
        <v>8345666496347.8799</v>
      </c>
      <c r="G65" s="120">
        <f t="shared" ca="1" si="22"/>
        <v>8990446747144.8438</v>
      </c>
      <c r="H65" s="120">
        <f t="shared" ca="1" si="22"/>
        <v>9689840675836.8379</v>
      </c>
      <c r="I65" s="120">
        <f t="shared" ca="1" si="22"/>
        <v>10449176705033.158</v>
      </c>
      <c r="J65" s="120">
        <f t="shared" ca="1" si="22"/>
        <v>11274397826509.582</v>
      </c>
      <c r="K65" s="120">
        <f t="shared" ca="1" si="22"/>
        <v>12172143767325.465</v>
      </c>
      <c r="L65" s="120">
        <f t="shared" ca="1" si="22"/>
        <v>13149845322247.301</v>
      </c>
      <c r="M65" s="120">
        <f t="shared" ca="1" si="22"/>
        <v>14215832769232.203</v>
      </c>
      <c r="N65" s="120">
        <f t="shared" ca="1" si="22"/>
        <v>15379460598425.914</v>
      </c>
      <c r="O65" s="120">
        <f t="shared" ca="1" si="22"/>
        <v>16651251151541.25</v>
      </c>
      <c r="P65" s="120">
        <f t="shared" ca="1" si="22"/>
        <v>18043060196647.328</v>
      </c>
      <c r="Q65" s="120">
        <f t="shared" ref="Q65" ca="1" si="23">SUM(Q57:Q64)</f>
        <v>19568267963940.512</v>
      </c>
    </row>
    <row r="67" spans="1:17" x14ac:dyDescent="0.5">
      <c r="C67" s="14" t="str">
        <f>$F$16</f>
        <v>Arbitrage</v>
      </c>
      <c r="D67" s="15">
        <f ca="1">IFERROR((Q67/E67)^(1/12)-1, "NA")</f>
        <v>0.30975082565788292</v>
      </c>
      <c r="E67" s="3">
        <f ca="1">E57*E47</f>
        <v>13410723331.453459</v>
      </c>
      <c r="F67" s="3">
        <f t="shared" ref="F67:P67" ca="1" si="24">F57*F47</f>
        <v>32654548621.123417</v>
      </c>
      <c r="G67" s="3">
        <f t="shared" ca="1" si="24"/>
        <v>65884500000.000015</v>
      </c>
      <c r="H67" s="3">
        <f t="shared" ca="1" si="24"/>
        <v>105433896168.4407</v>
      </c>
      <c r="I67" s="3">
        <f t="shared" ca="1" si="24"/>
        <v>139805849970.41907</v>
      </c>
      <c r="J67" s="3">
        <f t="shared" ca="1" si="24"/>
        <v>166615312050.00003</v>
      </c>
      <c r="K67" s="3">
        <f t="shared" ca="1" si="24"/>
        <v>189191380353.58652</v>
      </c>
      <c r="L67" s="3">
        <f t="shared" ca="1" si="24"/>
        <v>210658171381.60281</v>
      </c>
      <c r="M67" s="3">
        <f t="shared" ca="1" si="24"/>
        <v>232791968311.18521</v>
      </c>
      <c r="N67" s="3">
        <f t="shared" ca="1" si="24"/>
        <v>256514214667.96164</v>
      </c>
      <c r="O67" s="3">
        <f t="shared" ca="1" si="24"/>
        <v>282348709938.84344</v>
      </c>
      <c r="P67" s="3">
        <f t="shared" ca="1" si="24"/>
        <v>310659117107.43536</v>
      </c>
      <c r="Q67" s="3">
        <f t="shared" ref="Q67" ca="1" si="25">Q57*Q47</f>
        <v>341756177643.12305</v>
      </c>
    </row>
    <row r="68" spans="1:17" x14ac:dyDescent="0.5">
      <c r="C68" s="14" t="str">
        <f>$F$17</f>
        <v>Gaming Point of Sale</v>
      </c>
      <c r="D68" s="15">
        <f t="shared" ref="D68:D74" ca="1" si="26">IFERROR((Q68/E68)^(1/12)-1, "NA")</f>
        <v>0.50037665802075115</v>
      </c>
      <c r="E68" s="3">
        <f t="shared" ref="E68:P68" ca="1" si="27">E58*E48</f>
        <v>203049803.85378873</v>
      </c>
      <c r="F68" s="3">
        <f t="shared" ca="1" si="27"/>
        <v>566870400.00000083</v>
      </c>
      <c r="G68" s="3">
        <f t="shared" ca="1" si="27"/>
        <v>1507862895.7071781</v>
      </c>
      <c r="H68" s="3">
        <f t="shared" ca="1" si="27"/>
        <v>3604826831.2732811</v>
      </c>
      <c r="I68" s="3">
        <f t="shared" ca="1" si="27"/>
        <v>7140934453.248003</v>
      </c>
      <c r="J68" s="3">
        <f t="shared" ca="1" si="27"/>
        <v>11219748403.018532</v>
      </c>
      <c r="K68" s="3">
        <f t="shared" ca="1" si="27"/>
        <v>14606941069.733696</v>
      </c>
      <c r="L68" s="3">
        <f t="shared" ca="1" si="27"/>
        <v>17091489561.742901</v>
      </c>
      <c r="M68" s="3">
        <f t="shared" ca="1" si="27"/>
        <v>19054493959.310307</v>
      </c>
      <c r="N68" s="3">
        <f t="shared" ca="1" si="27"/>
        <v>20830776243.100239</v>
      </c>
      <c r="O68" s="3">
        <f t="shared" ca="1" si="27"/>
        <v>22600924612.002399</v>
      </c>
      <c r="P68" s="3">
        <f t="shared" ca="1" si="27"/>
        <v>24451230572.358692</v>
      </c>
      <c r="Q68" s="3">
        <f t="shared" ref="Q68" ca="1" si="28">Q58*Q48</f>
        <v>26424462536.761906</v>
      </c>
    </row>
    <row r="69" spans="1:17" x14ac:dyDescent="0.5">
      <c r="C69" s="14" t="str">
        <f>$F$18</f>
        <v>IoT</v>
      </c>
      <c r="D69" s="15" t="str">
        <f t="shared" ca="1" si="26"/>
        <v>NA</v>
      </c>
      <c r="E69" s="3">
        <f t="shared" ref="E69:P69" ca="1" si="29">E59*E49</f>
        <v>0</v>
      </c>
      <c r="F69" s="3">
        <f t="shared" ca="1" si="29"/>
        <v>56814069.375000052</v>
      </c>
      <c r="G69" s="3">
        <f t="shared" ca="1" si="29"/>
        <v>254244465.08908194</v>
      </c>
      <c r="H69" s="3">
        <f t="shared" ca="1" si="29"/>
        <v>812247657.01969862</v>
      </c>
      <c r="I69" s="3">
        <f t="shared" ca="1" si="29"/>
        <v>2123891785.2486827</v>
      </c>
      <c r="J69" s="3">
        <f t="shared" ca="1" si="29"/>
        <v>4631692039.6323309</v>
      </c>
      <c r="K69" s="3">
        <f t="shared" ca="1" si="29"/>
        <v>8493152680.6068172</v>
      </c>
      <c r="L69" s="3">
        <f t="shared" ca="1" si="29"/>
        <v>13469634987.51005</v>
      </c>
      <c r="M69" s="3">
        <f t="shared" ca="1" si="29"/>
        <v>19268475717.776577</v>
      </c>
      <c r="N69" s="3">
        <f t="shared" ca="1" si="29"/>
        <v>25827332609.715141</v>
      </c>
      <c r="O69" s="3">
        <f t="shared" ca="1" si="29"/>
        <v>33295030392.106274</v>
      </c>
      <c r="P69" s="3">
        <f t="shared" ca="1" si="29"/>
        <v>41922823532.839455</v>
      </c>
      <c r="Q69" s="3">
        <f t="shared" ref="Q69" ca="1" si="30">Q59*Q49</f>
        <v>52002660784.711288</v>
      </c>
    </row>
    <row r="70" spans="1:17" x14ac:dyDescent="0.5">
      <c r="C70" s="14" t="str">
        <f>$F$19</f>
        <v>Content Monetization</v>
      </c>
      <c r="D70" s="15">
        <f t="shared" ca="1" si="26"/>
        <v>0.4972299982775592</v>
      </c>
      <c r="E70" s="3">
        <f t="shared" ref="E70:P70" ca="1" si="31">E60*E50</f>
        <v>304968347.09013927</v>
      </c>
      <c r="F70" s="3">
        <f t="shared" ca="1" si="31"/>
        <v>682137500.00000083</v>
      </c>
      <c r="G70" s="3">
        <f t="shared" ca="1" si="31"/>
        <v>1485770670.6569042</v>
      </c>
      <c r="H70" s="3">
        <f t="shared" ca="1" si="31"/>
        <v>3080432692.2226315</v>
      </c>
      <c r="I70" s="3">
        <f t="shared" ca="1" si="31"/>
        <v>5880728734.9373932</v>
      </c>
      <c r="J70" s="3">
        <f t="shared" ca="1" si="31"/>
        <v>9987175137.5000057</v>
      </c>
      <c r="K70" s="3">
        <f t="shared" ca="1" si="31"/>
        <v>14856103533.225769</v>
      </c>
      <c r="L70" s="3">
        <f t="shared" ca="1" si="31"/>
        <v>19658902328.066864</v>
      </c>
      <c r="M70" s="3">
        <f t="shared" ca="1" si="31"/>
        <v>23953726840.945408</v>
      </c>
      <c r="N70" s="3">
        <f t="shared" ca="1" si="31"/>
        <v>27782223925.74614</v>
      </c>
      <c r="O70" s="3">
        <f t="shared" ca="1" si="31"/>
        <v>31377881510.556076</v>
      </c>
      <c r="P70" s="3">
        <f t="shared" ca="1" si="31"/>
        <v>34963611391.417358</v>
      </c>
      <c r="Q70" s="3">
        <f t="shared" ref="Q70" ca="1" si="32">Q60*Q50</f>
        <v>38700538296.486084</v>
      </c>
    </row>
    <row r="71" spans="1:17" x14ac:dyDescent="0.5">
      <c r="C71" s="14" t="str">
        <f>$F$20</f>
        <v>P2P Payments</v>
      </c>
      <c r="D71" s="15">
        <f t="shared" ca="1" si="26"/>
        <v>0.7194563744810889</v>
      </c>
      <c r="E71" s="3">
        <f t="shared" ref="E71:P71" ca="1" si="33">E61*E51</f>
        <v>50684164.079182468</v>
      </c>
      <c r="F71" s="3">
        <f t="shared" ca="1" si="33"/>
        <v>124310458.73349853</v>
      </c>
      <c r="G71" s="3">
        <f t="shared" ca="1" si="33"/>
        <v>300800881.50000018</v>
      </c>
      <c r="H71" s="3">
        <f t="shared" ca="1" si="33"/>
        <v>708782908.87651193</v>
      </c>
      <c r="I71" s="3">
        <f t="shared" ca="1" si="33"/>
        <v>1589744956.1185851</v>
      </c>
      <c r="J71" s="3">
        <f t="shared" ca="1" si="33"/>
        <v>3283228847.3462896</v>
      </c>
      <c r="K71" s="3">
        <f t="shared" ca="1" si="33"/>
        <v>6032078020.7451324</v>
      </c>
      <c r="L71" s="3">
        <f t="shared" ca="1" si="33"/>
        <v>9706965318.6463356</v>
      </c>
      <c r="M71" s="3">
        <f t="shared" ca="1" si="33"/>
        <v>13896073475.950037</v>
      </c>
      <c r="N71" s="3">
        <f t="shared" ca="1" si="33"/>
        <v>18317247171.201977</v>
      </c>
      <c r="O71" s="3">
        <f t="shared" ca="1" si="33"/>
        <v>22983088888.280869</v>
      </c>
      <c r="P71" s="3">
        <f t="shared" ca="1" si="33"/>
        <v>28081434168.923187</v>
      </c>
      <c r="Q71" s="3">
        <f t="shared" ref="Q71" ca="1" si="34">Q61*Q51</f>
        <v>33850588728.359142</v>
      </c>
    </row>
    <row r="72" spans="1:17" x14ac:dyDescent="0.5">
      <c r="C72" s="14" t="str">
        <f>$F$21</f>
        <v>Point of Sale</v>
      </c>
      <c r="D72" s="15">
        <f t="shared" ca="1" si="26"/>
        <v>0.54606581570988699</v>
      </c>
      <c r="E72" s="3">
        <f t="shared" ref="E72:P72" ca="1" si="35">E62*E52</f>
        <v>3715297283.9859796</v>
      </c>
      <c r="F72" s="3">
        <f t="shared" ca="1" si="35"/>
        <v>8193430369.7014294</v>
      </c>
      <c r="G72" s="3">
        <f t="shared" ca="1" si="35"/>
        <v>17826825736.000023</v>
      </c>
      <c r="H72" s="3">
        <f t="shared" ca="1" si="35"/>
        <v>37769824555.530113</v>
      </c>
      <c r="I72" s="3">
        <f t="shared" ca="1" si="35"/>
        <v>76172112966.404938</v>
      </c>
      <c r="J72" s="3">
        <f t="shared" ca="1" si="35"/>
        <v>141451161620.34778</v>
      </c>
      <c r="K72" s="3">
        <f t="shared" ca="1" si="35"/>
        <v>233673320457.14127</v>
      </c>
      <c r="L72" s="3">
        <f t="shared" ca="1" si="35"/>
        <v>338113470839.14606</v>
      </c>
      <c r="M72" s="3">
        <f t="shared" ca="1" si="35"/>
        <v>435219067433.12915</v>
      </c>
      <c r="N72" s="3">
        <f t="shared" ca="1" si="35"/>
        <v>515837408931.05975</v>
      </c>
      <c r="O72" s="3">
        <f t="shared" ca="1" si="35"/>
        <v>581966306587.47705</v>
      </c>
      <c r="P72" s="3">
        <f t="shared" ca="1" si="35"/>
        <v>639360122378.54285</v>
      </c>
      <c r="Q72" s="3">
        <f t="shared" ref="Q72" ca="1" si="36">Q62*Q52</f>
        <v>692993727561.25745</v>
      </c>
    </row>
    <row r="73" spans="1:17" x14ac:dyDescent="0.5">
      <c r="C73" s="14" t="str">
        <f>$F$22</f>
        <v>Game Token Transactions</v>
      </c>
      <c r="D73" s="15">
        <f t="shared" ca="1" si="26"/>
        <v>0.38623750853184369</v>
      </c>
      <c r="E73" s="3">
        <f t="shared" ref="E73:P74" ca="1" si="37">E63*E53</f>
        <v>583200000.00000072</v>
      </c>
      <c r="F73" s="3">
        <f t="shared" ca="1" si="37"/>
        <v>1551299275.4189076</v>
      </c>
      <c r="G73" s="3">
        <f t="shared" ca="1" si="37"/>
        <v>3708669579.4992604</v>
      </c>
      <c r="H73" s="3">
        <f t="shared" ca="1" si="37"/>
        <v>7346640384.0000038</v>
      </c>
      <c r="I73" s="3">
        <f t="shared" ca="1" si="37"/>
        <v>11542951031.912069</v>
      </c>
      <c r="J73" s="3">
        <f t="shared" ca="1" si="37"/>
        <v>15027717149.931782</v>
      </c>
      <c r="K73" s="3">
        <f t="shared" ca="1" si="37"/>
        <v>17583836997.677879</v>
      </c>
      <c r="L73" s="3">
        <f t="shared" ca="1" si="37"/>
        <v>19603388847.027061</v>
      </c>
      <c r="M73" s="3">
        <f t="shared" ca="1" si="37"/>
        <v>21430839756.275959</v>
      </c>
      <c r="N73" s="3">
        <f t="shared" ca="1" si="37"/>
        <v>23251980053.500408</v>
      </c>
      <c r="O73" s="3">
        <f t="shared" ca="1" si="37"/>
        <v>25155587008.599476</v>
      </c>
      <c r="P73" s="3">
        <f t="shared" ca="1" si="37"/>
        <v>27185661046.051338</v>
      </c>
      <c r="Q73" s="3">
        <f t="shared" ref="Q73" ca="1" si="38">Q63*Q53</f>
        <v>29367654619.217617</v>
      </c>
    </row>
    <row r="74" spans="1:17" x14ac:dyDescent="0.5">
      <c r="C74" s="14" t="str">
        <f>$F$23</f>
        <v>Remittances</v>
      </c>
      <c r="D74" s="15">
        <f t="shared" ca="1" si="26"/>
        <v>0.45613515618617129</v>
      </c>
      <c r="E74" s="3">
        <f t="shared" ca="1" si="37"/>
        <v>686668399.55669951</v>
      </c>
      <c r="F74" s="3">
        <f t="shared" ca="1" si="37"/>
        <v>1493748177.19576</v>
      </c>
      <c r="G74" s="3">
        <f t="shared" ca="1" si="37"/>
        <v>3164247251.7502956</v>
      </c>
      <c r="H74" s="3">
        <f t="shared" ca="1" si="37"/>
        <v>6380335584.385128</v>
      </c>
      <c r="I74" s="3">
        <f t="shared" ca="1" si="37"/>
        <v>11846119575.398544</v>
      </c>
      <c r="J74" s="3">
        <f t="shared" ca="1" si="37"/>
        <v>19565943654.976307</v>
      </c>
      <c r="K74" s="3">
        <f t="shared" ca="1" si="37"/>
        <v>28305851079.269905</v>
      </c>
      <c r="L74" s="3">
        <f t="shared" ca="1" si="37"/>
        <v>36428704967.68235</v>
      </c>
      <c r="M74" s="3">
        <f t="shared" ca="1" si="37"/>
        <v>43168874671.84967</v>
      </c>
      <c r="N74" s="3">
        <f t="shared" ca="1" si="37"/>
        <v>48694264415.702866</v>
      </c>
      <c r="O74" s="3">
        <f t="shared" ca="1" si="37"/>
        <v>53486919780.711205</v>
      </c>
      <c r="P74" s="3">
        <f t="shared" ca="1" si="37"/>
        <v>57963342522.481651</v>
      </c>
      <c r="Q74" s="3">
        <f t="shared" ref="Q74" ca="1" si="39">Q64*Q54</f>
        <v>62397517314.902466</v>
      </c>
    </row>
    <row r="75" spans="1:17" s="8" customFormat="1" x14ac:dyDescent="0.5">
      <c r="A75" s="60"/>
      <c r="B75" s="60"/>
      <c r="C75" s="33" t="s">
        <v>93</v>
      </c>
      <c r="D75" s="80">
        <f ca="1">(Q75/E75)^(1/12)-1</f>
        <v>0.42032266667455498</v>
      </c>
      <c r="E75" s="34">
        <f ca="1">SUM(E67:E74)</f>
        <v>18954591330.019245</v>
      </c>
      <c r="F75" s="34">
        <f t="shared" ref="F75:P75" ca="1" si="40">SUM(F67:F74)</f>
        <v>45323158871.548012</v>
      </c>
      <c r="G75" s="34">
        <f t="shared" ca="1" si="40"/>
        <v>94132921480.202744</v>
      </c>
      <c r="H75" s="34">
        <f t="shared" ca="1" si="40"/>
        <v>165136986781.74808</v>
      </c>
      <c r="I75" s="34">
        <f t="shared" ca="1" si="40"/>
        <v>256102333473.68732</v>
      </c>
      <c r="J75" s="34">
        <f t="shared" ca="1" si="40"/>
        <v>371781978902.75305</v>
      </c>
      <c r="K75" s="34">
        <f t="shared" ca="1" si="40"/>
        <v>512742664191.98694</v>
      </c>
      <c r="L75" s="34">
        <f t="shared" ca="1" si="40"/>
        <v>664730728231.42444</v>
      </c>
      <c r="M75" s="34">
        <f t="shared" ca="1" si="40"/>
        <v>808783520166.42236</v>
      </c>
      <c r="N75" s="34">
        <f t="shared" ca="1" si="40"/>
        <v>937055448017.98816</v>
      </c>
      <c r="O75" s="34">
        <f t="shared" ca="1" si="40"/>
        <v>1053214448718.5768</v>
      </c>
      <c r="P75" s="34">
        <f t="shared" ca="1" si="40"/>
        <v>1164587342720.05</v>
      </c>
      <c r="Q75" s="34">
        <f t="shared" ref="Q75" ca="1" si="41">SUM(Q67:Q74)</f>
        <v>1277493327484.8188</v>
      </c>
    </row>
    <row r="76" spans="1:17" x14ac:dyDescent="0.5"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</row>
    <row r="77" spans="1:17" s="8" customFormat="1" x14ac:dyDescent="0.5">
      <c r="A77" s="60"/>
      <c r="B77" s="60"/>
      <c r="C77" s="115" t="s">
        <v>86</v>
      </c>
      <c r="D77" s="115"/>
      <c r="E77" s="115">
        <f>$D$26</f>
        <v>2019</v>
      </c>
      <c r="F77" s="115">
        <f>E77+1</f>
        <v>2020</v>
      </c>
      <c r="G77" s="115">
        <f t="shared" ref="G77:Q77" si="42">F77+1</f>
        <v>2021</v>
      </c>
      <c r="H77" s="115">
        <f t="shared" si="42"/>
        <v>2022</v>
      </c>
      <c r="I77" s="115">
        <f t="shared" si="42"/>
        <v>2023</v>
      </c>
      <c r="J77" s="115">
        <f t="shared" si="42"/>
        <v>2024</v>
      </c>
      <c r="K77" s="115">
        <f t="shared" si="42"/>
        <v>2025</v>
      </c>
      <c r="L77" s="115">
        <f t="shared" si="42"/>
        <v>2026</v>
      </c>
      <c r="M77" s="115">
        <f t="shared" si="42"/>
        <v>2027</v>
      </c>
      <c r="N77" s="115">
        <f t="shared" si="42"/>
        <v>2028</v>
      </c>
      <c r="O77" s="115">
        <f t="shared" si="42"/>
        <v>2029</v>
      </c>
      <c r="P77" s="115">
        <f t="shared" si="42"/>
        <v>2030</v>
      </c>
      <c r="Q77" s="115">
        <f t="shared" si="42"/>
        <v>2031</v>
      </c>
    </row>
    <row r="78" spans="1:17" s="130" customFormat="1" x14ac:dyDescent="0.5">
      <c r="A78" s="129"/>
      <c r="B78" s="129"/>
      <c r="C78" s="135" t="s">
        <v>3</v>
      </c>
      <c r="D78" s="135"/>
      <c r="E78" s="136">
        <f>$Q$15</f>
        <v>20</v>
      </c>
      <c r="F78" s="136">
        <f t="shared" ref="F78:Q78" si="43">$Q$15</f>
        <v>20</v>
      </c>
      <c r="G78" s="136">
        <f t="shared" si="43"/>
        <v>20</v>
      </c>
      <c r="H78" s="136">
        <f t="shared" si="43"/>
        <v>20</v>
      </c>
      <c r="I78" s="136">
        <f t="shared" si="43"/>
        <v>20</v>
      </c>
      <c r="J78" s="136">
        <f t="shared" si="43"/>
        <v>20</v>
      </c>
      <c r="K78" s="136">
        <f t="shared" si="43"/>
        <v>20</v>
      </c>
      <c r="L78" s="136">
        <f t="shared" si="43"/>
        <v>20</v>
      </c>
      <c r="M78" s="136">
        <f t="shared" si="43"/>
        <v>20</v>
      </c>
      <c r="N78" s="136">
        <f t="shared" si="43"/>
        <v>20</v>
      </c>
      <c r="O78" s="136">
        <f t="shared" si="43"/>
        <v>20</v>
      </c>
      <c r="P78" s="136">
        <f t="shared" si="43"/>
        <v>20</v>
      </c>
      <c r="Q78" s="136">
        <f t="shared" si="43"/>
        <v>20</v>
      </c>
    </row>
    <row r="79" spans="1:17" x14ac:dyDescent="0.5">
      <c r="C79" s="17" t="s">
        <v>60</v>
      </c>
      <c r="D79" s="17"/>
      <c r="E79" s="137">
        <f ca="1">E75/E78</f>
        <v>947729566.50096226</v>
      </c>
      <c r="F79" s="137">
        <f t="shared" ref="F79:Q79" ca="1" si="44">F75/F78</f>
        <v>2266157943.5774007</v>
      </c>
      <c r="G79" s="137">
        <f t="shared" ca="1" si="44"/>
        <v>4706646074.0101376</v>
      </c>
      <c r="H79" s="137">
        <f t="shared" ca="1" si="44"/>
        <v>8256849339.0874043</v>
      </c>
      <c r="I79" s="137">
        <f t="shared" ca="1" si="44"/>
        <v>12805116673.684366</v>
      </c>
      <c r="J79" s="137">
        <f t="shared" ca="1" si="44"/>
        <v>18589098945.137653</v>
      </c>
      <c r="K79" s="137">
        <f t="shared" ca="1" si="44"/>
        <v>25637133209.599346</v>
      </c>
      <c r="L79" s="137">
        <f t="shared" ca="1" si="44"/>
        <v>33236536411.57122</v>
      </c>
      <c r="M79" s="137">
        <f t="shared" ca="1" si="44"/>
        <v>40439176008.321121</v>
      </c>
      <c r="N79" s="137">
        <f t="shared" ca="1" si="44"/>
        <v>46852772400.899406</v>
      </c>
      <c r="O79" s="137">
        <f t="shared" ca="1" si="44"/>
        <v>52660722435.928841</v>
      </c>
      <c r="P79" s="137">
        <f t="shared" ca="1" si="44"/>
        <v>58229367136.002502</v>
      </c>
      <c r="Q79" s="137">
        <f t="shared" ca="1" si="44"/>
        <v>63874666374.240944</v>
      </c>
    </row>
    <row r="80" spans="1:17" x14ac:dyDescent="0.5">
      <c r="C80" t="s">
        <v>61</v>
      </c>
      <c r="E80" s="24">
        <f t="shared" ref="E80:Q80" ca="1" si="45">E79/E43</f>
        <v>24.831342353737003</v>
      </c>
      <c r="F80" s="24">
        <f t="shared" ca="1" si="45"/>
        <v>27.998972168878304</v>
      </c>
      <c r="G80" s="24">
        <f t="shared" ca="1" si="45"/>
        <v>44.437545334379458</v>
      </c>
      <c r="H80" s="24">
        <f t="shared" ca="1" si="45"/>
        <v>65.927739314758568</v>
      </c>
      <c r="I80" s="24">
        <f t="shared" ca="1" si="45"/>
        <v>95.858723954608294</v>
      </c>
      <c r="J80" s="24">
        <f t="shared" ca="1" si="45"/>
        <v>130.77319466321416</v>
      </c>
      <c r="K80" s="24">
        <f t="shared" ca="1" si="45"/>
        <v>169.85105777586006</v>
      </c>
      <c r="L80" s="24">
        <f t="shared" ca="1" si="45"/>
        <v>207.77776823357956</v>
      </c>
      <c r="M80" s="24">
        <f t="shared" ca="1" si="45"/>
        <v>238.97155092486111</v>
      </c>
      <c r="N80" s="24">
        <f t="shared" ca="1" si="45"/>
        <v>262.15258891683447</v>
      </c>
      <c r="O80" s="24">
        <f t="shared" ca="1" si="45"/>
        <v>279.4089835089722</v>
      </c>
      <c r="P80" s="24">
        <f t="shared" ca="1" si="45"/>
        <v>293.38741118964811</v>
      </c>
      <c r="Q80" s="24">
        <f t="shared" ca="1" si="45"/>
        <v>309.61441630356347</v>
      </c>
    </row>
    <row r="81" spans="1:17" s="2" customFormat="1" x14ac:dyDescent="0.5">
      <c r="A81" s="69"/>
      <c r="B81" s="69"/>
      <c r="C81" s="77" t="s">
        <v>104</v>
      </c>
      <c r="E81" s="154"/>
      <c r="F81" s="155">
        <f ca="1">F80/E80-1</f>
        <v>0.12756579044405081</v>
      </c>
      <c r="G81" s="155">
        <f t="shared" ref="G81:Q81" ca="1" si="46">G80/F80-1</f>
        <v>0.58711345067777598</v>
      </c>
      <c r="H81" s="155">
        <f t="shared" ca="1" si="46"/>
        <v>0.48360443446350887</v>
      </c>
      <c r="I81" s="155">
        <f t="shared" ca="1" si="46"/>
        <v>0.45399682972519861</v>
      </c>
      <c r="J81" s="155">
        <f t="shared" ca="1" si="46"/>
        <v>0.36422841102223313</v>
      </c>
      <c r="K81" s="155">
        <f t="shared" ca="1" si="46"/>
        <v>0.29882165999909094</v>
      </c>
      <c r="L81" s="155">
        <f t="shared" ca="1" si="46"/>
        <v>0.22329393148536414</v>
      </c>
      <c r="M81" s="155">
        <f t="shared" ca="1" si="46"/>
        <v>0.15013051182749315</v>
      </c>
      <c r="N81" s="155">
        <f t="shared" ca="1" si="46"/>
        <v>9.7003337436020187E-2</v>
      </c>
      <c r="O81" s="155">
        <f t="shared" ca="1" si="46"/>
        <v>6.5825764542085663E-2</v>
      </c>
      <c r="P81" s="155">
        <f t="shared" ca="1" si="46"/>
        <v>5.0028554934516078E-2</v>
      </c>
      <c r="Q81" s="155">
        <f t="shared" ca="1" si="46"/>
        <v>5.5309139025825793E-2</v>
      </c>
    </row>
    <row r="82" spans="1:17" ht="5" customHeight="1" x14ac:dyDescent="0.5"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</row>
    <row r="83" spans="1:17" s="8" customFormat="1" x14ac:dyDescent="0.5">
      <c r="A83" s="60"/>
      <c r="B83" s="60"/>
      <c r="C83" s="23" t="s">
        <v>62</v>
      </c>
      <c r="D83" s="23"/>
      <c r="E83" s="82">
        <f t="shared" ref="E83:Q83" ca="1" si="47">E80/POWER(1+$Q$16,E77-$D$26)</f>
        <v>24.831342353737003</v>
      </c>
      <c r="F83" s="82">
        <f t="shared" ca="1" si="47"/>
        <v>22.399177735102644</v>
      </c>
      <c r="G83" s="82">
        <f t="shared" ca="1" si="47"/>
        <v>28.440029014002853</v>
      </c>
      <c r="H83" s="82">
        <f t="shared" ca="1" si="47"/>
        <v>33.755002529156386</v>
      </c>
      <c r="I83" s="82">
        <f t="shared" ca="1" si="47"/>
        <v>39.263733331807558</v>
      </c>
      <c r="J83" s="82">
        <f t="shared" ca="1" si="47"/>
        <v>42.851760427242013</v>
      </c>
      <c r="K83" s="82">
        <f t="shared" ca="1" si="47"/>
        <v>44.525435689595056</v>
      </c>
      <c r="L83" s="82">
        <f t="shared" ca="1" si="47"/>
        <v>43.574156220658786</v>
      </c>
      <c r="M83" s="82">
        <f t="shared" ca="1" si="47"/>
        <v>40.092773277213944</v>
      </c>
      <c r="N83" s="82">
        <f t="shared" ca="1" si="47"/>
        <v>35.185524873735503</v>
      </c>
      <c r="O83" s="82">
        <f t="shared" ca="1" si="47"/>
        <v>30.001311159490974</v>
      </c>
      <c r="P83" s="82">
        <f t="shared" ca="1" si="47"/>
        <v>25.20178672235286</v>
      </c>
      <c r="Q83" s="82">
        <f t="shared" ca="1" si="47"/>
        <v>21.27654067830295</v>
      </c>
    </row>
    <row r="84" spans="1:17" ht="16.149999999999999" thickBot="1" x14ac:dyDescent="0.55000000000000004">
      <c r="E84" s="21"/>
    </row>
    <row r="85" spans="1:17" x14ac:dyDescent="0.5">
      <c r="C85" s="83" t="s">
        <v>63</v>
      </c>
      <c r="D85" s="84"/>
      <c r="E85" s="85">
        <f ca="1">MAX(E83:P83)</f>
        <v>44.525435689595056</v>
      </c>
      <c r="N85" s="10"/>
      <c r="O85" s="10"/>
      <c r="P85" s="10"/>
      <c r="Q85" s="10"/>
    </row>
    <row r="86" spans="1:17" x14ac:dyDescent="0.5">
      <c r="C86" s="86" t="s">
        <v>64</v>
      </c>
      <c r="D86" s="87"/>
      <c r="E86" s="88">
        <f ca="1">E85*E43</f>
        <v>1699387462.1528778</v>
      </c>
    </row>
    <row r="87" spans="1:17" ht="16.149999999999999" thickBot="1" x14ac:dyDescent="0.55000000000000004">
      <c r="C87" s="89" t="s">
        <v>65</v>
      </c>
      <c r="D87" s="90"/>
      <c r="E87" s="91">
        <f ca="1">E85*D15</f>
        <v>8905087137.9190121</v>
      </c>
    </row>
    <row r="88" spans="1:17" x14ac:dyDescent="0.5">
      <c r="D88" s="2"/>
    </row>
    <row r="89" spans="1:17" x14ac:dyDescent="0.5">
      <c r="C89" t="s">
        <v>112</v>
      </c>
      <c r="D89" s="2"/>
      <c r="E89" s="10">
        <f ca="1">Q75/P75-1</f>
        <v>9.6949349029555654E-2</v>
      </c>
    </row>
    <row r="90" spans="1:17" x14ac:dyDescent="0.5">
      <c r="C90" t="s">
        <v>108</v>
      </c>
      <c r="D90" s="2"/>
      <c r="E90" s="10">
        <f>D27*(1-D29)</f>
        <v>1.2749999999999999E-2</v>
      </c>
    </row>
    <row r="91" spans="1:17" x14ac:dyDescent="0.5">
      <c r="C91" s="52" t="s">
        <v>109</v>
      </c>
      <c r="D91" s="69"/>
      <c r="E91" s="66">
        <f ca="1">(1+E89)/(1+E90)-1</f>
        <v>8.313932266556967E-2</v>
      </c>
    </row>
    <row r="92" spans="1:17" x14ac:dyDescent="0.5">
      <c r="C92" s="17" t="s">
        <v>110</v>
      </c>
      <c r="D92" s="157"/>
      <c r="E92" s="37">
        <f ca="1">E91/Q16-1</f>
        <v>-0.66744270933772132</v>
      </c>
    </row>
    <row r="93" spans="1:17" x14ac:dyDescent="0.5">
      <c r="C93" s="76" t="s">
        <v>111</v>
      </c>
      <c r="D93" s="2"/>
      <c r="E93" s="10"/>
    </row>
    <row r="94" spans="1:17" x14ac:dyDescent="0.5">
      <c r="D94" s="2"/>
    </row>
    <row r="95" spans="1:17" x14ac:dyDescent="0.5">
      <c r="D95" s="2"/>
      <c r="E95" s="13" t="s">
        <v>66</v>
      </c>
    </row>
    <row r="96" spans="1:17" ht="16.149999999999999" thickBot="1" x14ac:dyDescent="0.55000000000000004">
      <c r="D96" s="42" t="s">
        <v>3</v>
      </c>
      <c r="E96" s="13" t="s">
        <v>67</v>
      </c>
    </row>
    <row r="97" spans="3:5" ht="16.149999999999999" hidden="1" outlineLevel="1" thickBot="1" x14ac:dyDescent="0.55000000000000004">
      <c r="D97" s="2"/>
      <c r="E97" s="67">
        <f ca="1">E87</f>
        <v>8905087137.9190121</v>
      </c>
    </row>
    <row r="98" spans="3:5" collapsed="1" x14ac:dyDescent="0.5">
      <c r="C98" s="47" t="str">
        <f t="shared" ref="C98:D100" si="48">T24</f>
        <v>Bitcoin Velocity</v>
      </c>
      <c r="D98" s="43">
        <f t="shared" si="48"/>
        <v>2.1159420289855073</v>
      </c>
      <c r="E98" s="104">
        <f t="dataTable" ref="E98:E107" dt2D="0" dtr="0" r1="Q15" ca="1"/>
        <v>84171371577.590652</v>
      </c>
    </row>
    <row r="99" spans="3:5" x14ac:dyDescent="0.5">
      <c r="C99" s="47" t="str">
        <f t="shared" si="48"/>
        <v>US M1 Velocity - Current</v>
      </c>
      <c r="D99" s="45">
        <f t="shared" si="48"/>
        <v>5.181</v>
      </c>
      <c r="E99" s="105">
        <v>34375939540.316582</v>
      </c>
    </row>
    <row r="100" spans="3:5" x14ac:dyDescent="0.5">
      <c r="C100" s="47" t="str">
        <f t="shared" si="48"/>
        <v>US M1 Velocity - Peak</v>
      </c>
      <c r="D100" s="45">
        <f t="shared" si="48"/>
        <v>10.67</v>
      </c>
      <c r="E100" s="105">
        <v>16691822189.164034</v>
      </c>
    </row>
    <row r="101" spans="3:5" x14ac:dyDescent="0.5">
      <c r="C101" s="2"/>
      <c r="D101" s="45">
        <v>12</v>
      </c>
      <c r="E101" s="105">
        <v>14841811896.531687</v>
      </c>
    </row>
    <row r="102" spans="3:5" x14ac:dyDescent="0.5">
      <c r="C102" s="2"/>
      <c r="D102" s="45">
        <f>D101+2</f>
        <v>14</v>
      </c>
      <c r="E102" s="105">
        <v>12721553054.170019</v>
      </c>
    </row>
    <row r="103" spans="3:5" x14ac:dyDescent="0.5">
      <c r="C103" s="2"/>
      <c r="D103" s="45">
        <f t="shared" ref="D103:D105" si="49">D102+2</f>
        <v>16</v>
      </c>
      <c r="E103" s="105">
        <v>11131358922.398766</v>
      </c>
    </row>
    <row r="104" spans="3:5" x14ac:dyDescent="0.5">
      <c r="C104" s="2"/>
      <c r="D104" s="45">
        <f t="shared" si="49"/>
        <v>18</v>
      </c>
      <c r="E104" s="105">
        <v>9894541264.3544579</v>
      </c>
    </row>
    <row r="105" spans="3:5" x14ac:dyDescent="0.5">
      <c r="C105" s="47" t="s">
        <v>5</v>
      </c>
      <c r="D105" s="45">
        <f t="shared" si="49"/>
        <v>20</v>
      </c>
      <c r="E105" s="105">
        <v>8905087137.9190121</v>
      </c>
    </row>
    <row r="106" spans="3:5" x14ac:dyDescent="0.5">
      <c r="C106" s="2"/>
      <c r="D106" s="45">
        <v>50</v>
      </c>
      <c r="E106" s="105">
        <v>3562034855.1676054</v>
      </c>
    </row>
    <row r="107" spans="3:5" ht="16.149999999999999" thickBot="1" x14ac:dyDescent="0.55000000000000004">
      <c r="C107" s="2"/>
      <c r="D107" s="46">
        <v>100</v>
      </c>
      <c r="E107" s="106">
        <v>1781017427.5838027</v>
      </c>
    </row>
    <row r="108" spans="3:5" x14ac:dyDescent="0.5">
      <c r="C108" s="2"/>
      <c r="D108" s="44"/>
      <c r="E108" s="48"/>
    </row>
    <row r="109" spans="3:5" x14ac:dyDescent="0.5">
      <c r="C109" s="2" t="s">
        <v>68</v>
      </c>
      <c r="D109" s="2"/>
    </row>
    <row r="110" spans="3:5" x14ac:dyDescent="0.5">
      <c r="C110" s="2" t="s">
        <v>69</v>
      </c>
      <c r="D110" s="2"/>
    </row>
    <row r="111" spans="3:5" x14ac:dyDescent="0.5">
      <c r="C111" s="2" t="s">
        <v>70</v>
      </c>
      <c r="D111" s="2"/>
    </row>
    <row r="112" spans="3:5" x14ac:dyDescent="0.5">
      <c r="C112" s="2"/>
      <c r="D112" s="2"/>
    </row>
    <row r="113" spans="3:17" x14ac:dyDescent="0.5">
      <c r="C113" s="2"/>
      <c r="D113" s="2"/>
    </row>
    <row r="114" spans="3:17" ht="16.149999999999999" thickBot="1" x14ac:dyDescent="0.55000000000000004">
      <c r="C114" s="18" t="s">
        <v>113</v>
      </c>
      <c r="D114" s="18"/>
      <c r="E114" s="6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spans="3:17" x14ac:dyDescent="0.5">
      <c r="C115" s="25"/>
      <c r="D115" s="25"/>
      <c r="E115" s="26">
        <f t="shared" ref="E115:P115" si="50">E77</f>
        <v>2019</v>
      </c>
      <c r="F115" s="26">
        <f t="shared" si="50"/>
        <v>2020</v>
      </c>
      <c r="G115" s="26">
        <f t="shared" si="50"/>
        <v>2021</v>
      </c>
      <c r="H115" s="26">
        <f t="shared" si="50"/>
        <v>2022</v>
      </c>
      <c r="I115" s="26">
        <f t="shared" si="50"/>
        <v>2023</v>
      </c>
      <c r="J115" s="26">
        <f t="shared" si="50"/>
        <v>2024</v>
      </c>
      <c r="K115" s="26">
        <f t="shared" si="50"/>
        <v>2025</v>
      </c>
      <c r="L115" s="26">
        <f t="shared" si="50"/>
        <v>2026</v>
      </c>
      <c r="M115" s="26">
        <f t="shared" si="50"/>
        <v>2027</v>
      </c>
      <c r="N115" s="26">
        <f t="shared" si="50"/>
        <v>2028</v>
      </c>
      <c r="O115" s="26">
        <f t="shared" si="50"/>
        <v>2029</v>
      </c>
      <c r="P115" s="26">
        <f t="shared" si="50"/>
        <v>2030</v>
      </c>
      <c r="Q115" s="26">
        <f t="shared" ref="Q115" si="51">Q77</f>
        <v>2031</v>
      </c>
    </row>
    <row r="116" spans="3:17" x14ac:dyDescent="0.5">
      <c r="C116" s="27">
        <v>0</v>
      </c>
      <c r="D116" s="28"/>
      <c r="E116" s="5">
        <f t="shared" ref="E116:P116" ca="1" si="52">E80</f>
        <v>24.831342353737003</v>
      </c>
      <c r="F116" s="5">
        <f t="shared" ca="1" si="52"/>
        <v>27.998972168878304</v>
      </c>
      <c r="G116" s="5">
        <f t="shared" ca="1" si="52"/>
        <v>44.437545334379458</v>
      </c>
      <c r="H116" s="5">
        <f t="shared" ca="1" si="52"/>
        <v>65.927739314758568</v>
      </c>
      <c r="I116" s="5">
        <f t="shared" ca="1" si="52"/>
        <v>95.858723954608294</v>
      </c>
      <c r="J116" s="5">
        <f t="shared" ca="1" si="52"/>
        <v>130.77319466321416</v>
      </c>
      <c r="K116" s="5">
        <f t="shared" ca="1" si="52"/>
        <v>169.85105777586006</v>
      </c>
      <c r="L116" s="5">
        <f t="shared" ca="1" si="52"/>
        <v>207.77776823357956</v>
      </c>
      <c r="M116" s="5">
        <f t="shared" ca="1" si="52"/>
        <v>238.97155092486111</v>
      </c>
      <c r="N116" s="5">
        <f t="shared" ca="1" si="52"/>
        <v>262.15258891683447</v>
      </c>
      <c r="O116" s="5">
        <f t="shared" ca="1" si="52"/>
        <v>279.4089835089722</v>
      </c>
      <c r="P116" s="5">
        <f t="shared" ca="1" si="52"/>
        <v>293.38741118964811</v>
      </c>
      <c r="Q116" s="5">
        <f t="shared" ref="Q116" ca="1" si="53">Q80</f>
        <v>309.61441630356347</v>
      </c>
    </row>
    <row r="117" spans="3:17" x14ac:dyDescent="0.5">
      <c r="C117" s="27">
        <v>1</v>
      </c>
      <c r="D117" s="28"/>
      <c r="E117" s="5">
        <f t="shared" ref="E117:E128" ca="1" si="54">F116/POWER(1+$Q$16,($C117-$C116))</f>
        <v>22.399177735102644</v>
      </c>
      <c r="F117" s="5">
        <f t="shared" ref="F117:F128" ca="1" si="55">G116/POWER(1+$Q$16,($C117-$C116))</f>
        <v>35.550036267503565</v>
      </c>
      <c r="G117" s="5">
        <f t="shared" ref="G117:G128" ca="1" si="56">H116/POWER(1+$Q$16,($C117-$C116))</f>
        <v>52.742191451806853</v>
      </c>
      <c r="H117" s="5">
        <f t="shared" ref="H117:H128" ca="1" si="57">I116/POWER(1+$Q$16,($C117-$C116))</f>
        <v>76.68697916368663</v>
      </c>
      <c r="I117" s="5">
        <f t="shared" ref="I117:I128" ca="1" si="58">J116/POWER(1+$Q$16,($C117-$C116))</f>
        <v>104.61855573057133</v>
      </c>
      <c r="J117" s="5">
        <f t="shared" ref="J117:J128" ca="1" si="59">K116/POWER(1+$Q$16,($C117-$C116))</f>
        <v>135.88084622068806</v>
      </c>
      <c r="K117" s="5">
        <f t="shared" ref="K117:K128" ca="1" si="60">L116/POWER(1+$Q$16,($C117-$C116))</f>
        <v>166.22221458686366</v>
      </c>
      <c r="L117" s="5">
        <f t="shared" ref="L117:L128" ca="1" si="61">M116/POWER(1+$Q$16,($C117-$C116))</f>
        <v>191.17724073988887</v>
      </c>
      <c r="M117" s="5">
        <f t="shared" ref="M117:M128" ca="1" si="62">N116/POWER(1+$Q$16,($C117-$C116))</f>
        <v>209.72207113346758</v>
      </c>
      <c r="N117" s="5">
        <f t="shared" ref="N117:N128" ca="1" si="63">O116/POWER(1+$Q$16,($C117-$C116))</f>
        <v>223.52718680717777</v>
      </c>
      <c r="O117" s="5">
        <f t="shared" ref="O117:O128" ca="1" si="64">P116/POWER(1+$Q$16,($C117-$C116))</f>
        <v>234.7099289517185</v>
      </c>
      <c r="P117" s="5">
        <f t="shared" ref="P117:P128" ca="1" si="65">Q116/POWER(1+$Q$16,($C117-$C116))</f>
        <v>247.69153304285078</v>
      </c>
      <c r="Q117" s="5">
        <f t="shared" ref="Q117:Q128" si="66">R116/POWER(1+$Q$16,($C117-$C116))</f>
        <v>0</v>
      </c>
    </row>
    <row r="118" spans="3:17" x14ac:dyDescent="0.5">
      <c r="C118" s="27">
        <v>2</v>
      </c>
      <c r="D118" s="28"/>
      <c r="E118" s="5">
        <f t="shared" ca="1" si="54"/>
        <v>28.440029014002853</v>
      </c>
      <c r="F118" s="5">
        <f t="shared" ca="1" si="55"/>
        <v>42.193753161445485</v>
      </c>
      <c r="G118" s="5">
        <f t="shared" ca="1" si="56"/>
        <v>61.349583330949301</v>
      </c>
      <c r="H118" s="5">
        <f t="shared" ca="1" si="57"/>
        <v>83.694844584457059</v>
      </c>
      <c r="I118" s="5">
        <f t="shared" ca="1" si="58"/>
        <v>108.70467697655045</v>
      </c>
      <c r="J118" s="5">
        <f t="shared" ca="1" si="59"/>
        <v>132.97777166949092</v>
      </c>
      <c r="K118" s="5">
        <f t="shared" ca="1" si="60"/>
        <v>152.94179259191111</v>
      </c>
      <c r="L118" s="5">
        <f t="shared" ca="1" si="61"/>
        <v>167.77765690677407</v>
      </c>
      <c r="M118" s="5">
        <f t="shared" ca="1" si="62"/>
        <v>178.82174944574223</v>
      </c>
      <c r="N118" s="5">
        <f t="shared" ca="1" si="63"/>
        <v>187.7679431613748</v>
      </c>
      <c r="O118" s="5">
        <f t="shared" ca="1" si="64"/>
        <v>198.15322643428061</v>
      </c>
      <c r="P118" s="5">
        <f t="shared" si="65"/>
        <v>0</v>
      </c>
      <c r="Q118" s="5">
        <f t="shared" si="66"/>
        <v>0</v>
      </c>
    </row>
    <row r="119" spans="3:17" x14ac:dyDescent="0.5">
      <c r="C119" s="27">
        <v>3</v>
      </c>
      <c r="D119" s="28"/>
      <c r="E119" s="5">
        <f t="shared" ca="1" si="54"/>
        <v>33.755002529156386</v>
      </c>
      <c r="F119" s="5">
        <f t="shared" ca="1" si="55"/>
        <v>49.079666664759444</v>
      </c>
      <c r="G119" s="5">
        <f t="shared" ca="1" si="56"/>
        <v>66.95587566756565</v>
      </c>
      <c r="H119" s="5">
        <f t="shared" ca="1" si="57"/>
        <v>86.963741581240356</v>
      </c>
      <c r="I119" s="5">
        <f t="shared" ca="1" si="58"/>
        <v>106.38221733559274</v>
      </c>
      <c r="J119" s="5">
        <f t="shared" ca="1" si="59"/>
        <v>122.35343407352889</v>
      </c>
      <c r="K119" s="5">
        <f t="shared" ca="1" si="60"/>
        <v>134.22212552541924</v>
      </c>
      <c r="L119" s="5">
        <f t="shared" ca="1" si="61"/>
        <v>143.05739955659379</v>
      </c>
      <c r="M119" s="5">
        <f t="shared" ca="1" si="62"/>
        <v>150.21435452909984</v>
      </c>
      <c r="N119" s="5">
        <f t="shared" ca="1" si="63"/>
        <v>158.52258114742449</v>
      </c>
      <c r="O119" s="5">
        <f t="shared" si="64"/>
        <v>0</v>
      </c>
      <c r="P119" s="5">
        <f t="shared" si="65"/>
        <v>0</v>
      </c>
      <c r="Q119" s="5">
        <f t="shared" si="66"/>
        <v>0</v>
      </c>
    </row>
    <row r="120" spans="3:17" x14ac:dyDescent="0.5">
      <c r="C120" s="27">
        <v>4</v>
      </c>
      <c r="D120" s="28"/>
      <c r="E120" s="5">
        <f t="shared" ca="1" si="54"/>
        <v>39.263733331807558</v>
      </c>
      <c r="F120" s="5">
        <f t="shared" ca="1" si="55"/>
        <v>53.56470053405252</v>
      </c>
      <c r="G120" s="5">
        <f t="shared" ca="1" si="56"/>
        <v>69.570993264992282</v>
      </c>
      <c r="H120" s="5">
        <f t="shared" ca="1" si="57"/>
        <v>85.105773868474188</v>
      </c>
      <c r="I120" s="5">
        <f t="shared" ca="1" si="58"/>
        <v>97.882747258823116</v>
      </c>
      <c r="J120" s="5">
        <f t="shared" ca="1" si="59"/>
        <v>107.3777004203354</v>
      </c>
      <c r="K120" s="5">
        <f t="shared" ca="1" si="60"/>
        <v>114.44591964527504</v>
      </c>
      <c r="L120" s="5">
        <f t="shared" ca="1" si="61"/>
        <v>120.17148362327987</v>
      </c>
      <c r="M120" s="5">
        <f t="shared" ca="1" si="62"/>
        <v>126.81806491793959</v>
      </c>
      <c r="N120" s="5">
        <f t="shared" si="63"/>
        <v>0</v>
      </c>
      <c r="O120" s="5">
        <f t="shared" si="64"/>
        <v>0</v>
      </c>
      <c r="P120" s="5">
        <f t="shared" si="65"/>
        <v>0</v>
      </c>
      <c r="Q120" s="5">
        <f t="shared" si="66"/>
        <v>0</v>
      </c>
    </row>
    <row r="121" spans="3:17" x14ac:dyDescent="0.5">
      <c r="C121" s="27">
        <v>5</v>
      </c>
      <c r="D121" s="28"/>
      <c r="E121" s="5">
        <f t="shared" ca="1" si="54"/>
        <v>42.851760427242013</v>
      </c>
      <c r="F121" s="5">
        <f t="shared" ca="1" si="55"/>
        <v>55.656794611993824</v>
      </c>
      <c r="G121" s="5">
        <f t="shared" ca="1" si="56"/>
        <v>68.084619094779356</v>
      </c>
      <c r="H121" s="5">
        <f t="shared" ca="1" si="57"/>
        <v>78.306197807058496</v>
      </c>
      <c r="I121" s="5">
        <f t="shared" ca="1" si="58"/>
        <v>85.902160336268324</v>
      </c>
      <c r="J121" s="5">
        <f t="shared" ca="1" si="59"/>
        <v>91.556735716220032</v>
      </c>
      <c r="K121" s="5">
        <f t="shared" ca="1" si="60"/>
        <v>96.137186898623895</v>
      </c>
      <c r="L121" s="5">
        <f t="shared" ca="1" si="61"/>
        <v>101.45445193435168</v>
      </c>
      <c r="M121" s="5">
        <f t="shared" si="62"/>
        <v>0</v>
      </c>
      <c r="N121" s="5">
        <f t="shared" si="63"/>
        <v>0</v>
      </c>
      <c r="O121" s="5">
        <f t="shared" si="64"/>
        <v>0</v>
      </c>
      <c r="P121" s="5">
        <f t="shared" si="65"/>
        <v>0</v>
      </c>
      <c r="Q121" s="5">
        <f t="shared" si="66"/>
        <v>0</v>
      </c>
    </row>
    <row r="122" spans="3:17" x14ac:dyDescent="0.5">
      <c r="C122" s="27">
        <v>6</v>
      </c>
      <c r="D122" s="28"/>
      <c r="E122" s="5">
        <f t="shared" ca="1" si="54"/>
        <v>44.525435689595056</v>
      </c>
      <c r="F122" s="5">
        <f t="shared" ca="1" si="55"/>
        <v>54.467695275823488</v>
      </c>
      <c r="G122" s="5">
        <f t="shared" ca="1" si="56"/>
        <v>62.644958245646798</v>
      </c>
      <c r="H122" s="5">
        <f t="shared" ca="1" si="57"/>
        <v>68.721728269014662</v>
      </c>
      <c r="I122" s="5">
        <f t="shared" ca="1" si="58"/>
        <v>73.245388572976026</v>
      </c>
      <c r="J122" s="5">
        <f t="shared" ca="1" si="59"/>
        <v>76.909749518899119</v>
      </c>
      <c r="K122" s="5">
        <f t="shared" ca="1" si="60"/>
        <v>81.163561547481351</v>
      </c>
      <c r="L122" s="5">
        <f t="shared" si="61"/>
        <v>0</v>
      </c>
      <c r="M122" s="5">
        <f t="shared" si="62"/>
        <v>0</v>
      </c>
      <c r="N122" s="5">
        <f t="shared" si="63"/>
        <v>0</v>
      </c>
      <c r="O122" s="5">
        <f t="shared" si="64"/>
        <v>0</v>
      </c>
      <c r="P122" s="5">
        <f t="shared" si="65"/>
        <v>0</v>
      </c>
      <c r="Q122" s="5">
        <f t="shared" si="66"/>
        <v>0</v>
      </c>
    </row>
    <row r="123" spans="3:17" x14ac:dyDescent="0.5">
      <c r="C123" s="27">
        <v>7</v>
      </c>
      <c r="D123" s="28"/>
      <c r="E123" s="5">
        <f t="shared" ca="1" si="54"/>
        <v>43.574156220658793</v>
      </c>
      <c r="F123" s="5">
        <f t="shared" ca="1" si="55"/>
        <v>50.115966596517438</v>
      </c>
      <c r="G123" s="5">
        <f t="shared" ca="1" si="56"/>
        <v>54.977382615211731</v>
      </c>
      <c r="H123" s="5">
        <f t="shared" ca="1" si="57"/>
        <v>58.596310858380818</v>
      </c>
      <c r="I123" s="5">
        <f t="shared" ca="1" si="58"/>
        <v>61.527799615119292</v>
      </c>
      <c r="J123" s="5">
        <f t="shared" ca="1" si="59"/>
        <v>64.930849237985086</v>
      </c>
      <c r="K123" s="5">
        <f t="shared" si="60"/>
        <v>0</v>
      </c>
      <c r="L123" s="5">
        <f t="shared" si="61"/>
        <v>0</v>
      </c>
      <c r="M123" s="5">
        <f t="shared" si="62"/>
        <v>0</v>
      </c>
      <c r="N123" s="5">
        <f t="shared" si="63"/>
        <v>0</v>
      </c>
      <c r="O123" s="5">
        <f t="shared" si="64"/>
        <v>0</v>
      </c>
      <c r="P123" s="5">
        <f t="shared" si="65"/>
        <v>0</v>
      </c>
      <c r="Q123" s="5">
        <f t="shared" si="66"/>
        <v>0</v>
      </c>
    </row>
    <row r="124" spans="3:17" x14ac:dyDescent="0.5">
      <c r="C124" s="27">
        <v>8</v>
      </c>
      <c r="D124" s="28"/>
      <c r="E124" s="5">
        <f t="shared" ca="1" si="54"/>
        <v>40.092773277213951</v>
      </c>
      <c r="F124" s="5">
        <f t="shared" ca="1" si="55"/>
        <v>43.981906092169382</v>
      </c>
      <c r="G124" s="5">
        <f t="shared" ca="1" si="56"/>
        <v>46.877048686704654</v>
      </c>
      <c r="H124" s="5">
        <f t="shared" ca="1" si="57"/>
        <v>49.222239692095435</v>
      </c>
      <c r="I124" s="5">
        <f t="shared" ca="1" si="58"/>
        <v>51.944679390388067</v>
      </c>
      <c r="J124" s="5">
        <f t="shared" si="59"/>
        <v>0</v>
      </c>
      <c r="K124" s="5">
        <f t="shared" si="60"/>
        <v>0</v>
      </c>
      <c r="L124" s="5">
        <f t="shared" si="61"/>
        <v>0</v>
      </c>
      <c r="M124" s="5">
        <f t="shared" si="62"/>
        <v>0</v>
      </c>
      <c r="N124" s="5">
        <f t="shared" si="63"/>
        <v>0</v>
      </c>
      <c r="O124" s="5">
        <f t="shared" si="64"/>
        <v>0</v>
      </c>
      <c r="P124" s="5">
        <f t="shared" si="65"/>
        <v>0</v>
      </c>
      <c r="Q124" s="5">
        <f t="shared" si="66"/>
        <v>0</v>
      </c>
    </row>
    <row r="125" spans="3:17" x14ac:dyDescent="0.5">
      <c r="C125" s="27">
        <v>9</v>
      </c>
      <c r="D125" s="28"/>
      <c r="E125" s="5">
        <f t="shared" ca="1" si="54"/>
        <v>35.185524873735503</v>
      </c>
      <c r="F125" s="5">
        <f t="shared" ca="1" si="55"/>
        <v>37.501638949363723</v>
      </c>
      <c r="G125" s="5">
        <f t="shared" ca="1" si="56"/>
        <v>39.377791753676348</v>
      </c>
      <c r="H125" s="5">
        <f t="shared" ca="1" si="57"/>
        <v>41.555743512310457</v>
      </c>
      <c r="I125" s="5">
        <f t="shared" si="58"/>
        <v>0</v>
      </c>
      <c r="J125" s="5">
        <f t="shared" si="59"/>
        <v>0</v>
      </c>
      <c r="K125" s="5">
        <f t="shared" si="60"/>
        <v>0</v>
      </c>
      <c r="L125" s="5">
        <f t="shared" si="61"/>
        <v>0</v>
      </c>
      <c r="M125" s="5">
        <f t="shared" si="62"/>
        <v>0</v>
      </c>
      <c r="N125" s="5">
        <f t="shared" si="63"/>
        <v>0</v>
      </c>
      <c r="O125" s="5">
        <f t="shared" si="64"/>
        <v>0</v>
      </c>
      <c r="P125" s="5">
        <f t="shared" si="65"/>
        <v>0</v>
      </c>
      <c r="Q125" s="5">
        <f t="shared" si="66"/>
        <v>0</v>
      </c>
    </row>
    <row r="126" spans="3:17" x14ac:dyDescent="0.5">
      <c r="C126" s="27">
        <v>10</v>
      </c>
      <c r="D126" s="28"/>
      <c r="E126" s="5">
        <f t="shared" ca="1" si="54"/>
        <v>30.001311159490978</v>
      </c>
      <c r="F126" s="5">
        <f t="shared" ca="1" si="55"/>
        <v>31.50223340294108</v>
      </c>
      <c r="G126" s="5">
        <f t="shared" ca="1" si="56"/>
        <v>33.244594809848365</v>
      </c>
      <c r="H126" s="5">
        <f t="shared" si="57"/>
        <v>0</v>
      </c>
      <c r="I126" s="5">
        <f t="shared" si="58"/>
        <v>0</v>
      </c>
      <c r="J126" s="5">
        <f t="shared" si="59"/>
        <v>0</v>
      </c>
      <c r="K126" s="5">
        <f t="shared" si="60"/>
        <v>0</v>
      </c>
      <c r="L126" s="5">
        <f t="shared" si="61"/>
        <v>0</v>
      </c>
      <c r="M126" s="5">
        <f t="shared" si="62"/>
        <v>0</v>
      </c>
      <c r="N126" s="5">
        <f t="shared" si="63"/>
        <v>0</v>
      </c>
      <c r="O126" s="5">
        <f t="shared" si="64"/>
        <v>0</v>
      </c>
      <c r="P126" s="5">
        <f t="shared" si="65"/>
        <v>0</v>
      </c>
      <c r="Q126" s="5">
        <f t="shared" si="66"/>
        <v>0</v>
      </c>
    </row>
    <row r="127" spans="3:17" x14ac:dyDescent="0.5">
      <c r="C127" s="27">
        <v>11</v>
      </c>
      <c r="D127" s="28"/>
      <c r="E127" s="5">
        <f t="shared" ca="1" si="54"/>
        <v>25.201786722352864</v>
      </c>
      <c r="F127" s="5">
        <f t="shared" ca="1" si="55"/>
        <v>26.595675847878692</v>
      </c>
      <c r="G127" s="5">
        <f t="shared" si="56"/>
        <v>0</v>
      </c>
      <c r="H127" s="5">
        <f t="shared" si="57"/>
        <v>0</v>
      </c>
      <c r="I127" s="5">
        <f t="shared" si="58"/>
        <v>0</v>
      </c>
      <c r="J127" s="5">
        <f t="shared" si="59"/>
        <v>0</v>
      </c>
      <c r="K127" s="5">
        <f t="shared" si="60"/>
        <v>0</v>
      </c>
      <c r="L127" s="5">
        <f t="shared" si="61"/>
        <v>0</v>
      </c>
      <c r="M127" s="5">
        <f t="shared" si="62"/>
        <v>0</v>
      </c>
      <c r="N127" s="5">
        <f t="shared" si="63"/>
        <v>0</v>
      </c>
      <c r="O127" s="5">
        <f t="shared" si="64"/>
        <v>0</v>
      </c>
      <c r="P127" s="5">
        <f t="shared" si="65"/>
        <v>0</v>
      </c>
      <c r="Q127" s="5">
        <f t="shared" si="66"/>
        <v>0</v>
      </c>
    </row>
    <row r="128" spans="3:17" x14ac:dyDescent="0.5">
      <c r="C128" s="27">
        <v>12</v>
      </c>
      <c r="D128" s="28"/>
      <c r="E128" s="5">
        <f t="shared" ca="1" si="54"/>
        <v>21.276540678302954</v>
      </c>
      <c r="F128" s="5">
        <f t="shared" si="55"/>
        <v>0</v>
      </c>
      <c r="G128" s="5">
        <f t="shared" si="56"/>
        <v>0</v>
      </c>
      <c r="H128" s="5">
        <f t="shared" si="57"/>
        <v>0</v>
      </c>
      <c r="I128" s="5">
        <f t="shared" si="58"/>
        <v>0</v>
      </c>
      <c r="J128" s="5">
        <f t="shared" si="59"/>
        <v>0</v>
      </c>
      <c r="K128" s="5">
        <f t="shared" si="60"/>
        <v>0</v>
      </c>
      <c r="L128" s="5">
        <f t="shared" si="61"/>
        <v>0</v>
      </c>
      <c r="M128" s="5">
        <f t="shared" si="62"/>
        <v>0</v>
      </c>
      <c r="N128" s="5">
        <f t="shared" si="63"/>
        <v>0</v>
      </c>
      <c r="O128" s="5">
        <f t="shared" si="64"/>
        <v>0</v>
      </c>
      <c r="P128" s="5">
        <f t="shared" si="65"/>
        <v>0</v>
      </c>
      <c r="Q128" s="5">
        <f t="shared" si="66"/>
        <v>0</v>
      </c>
    </row>
    <row r="129" spans="3:17" x14ac:dyDescent="0.5">
      <c r="C129" s="29" t="s">
        <v>71</v>
      </c>
      <c r="D129" s="30"/>
      <c r="E129" s="31">
        <f ca="1">MAX(E116:E128)</f>
        <v>44.525435689595056</v>
      </c>
      <c r="F129" s="31">
        <f t="shared" ref="F129:P129" ca="1" si="67">MAX(F116:F128)</f>
        <v>55.656794611993824</v>
      </c>
      <c r="G129" s="31">
        <f t="shared" ca="1" si="67"/>
        <v>69.570993264992282</v>
      </c>
      <c r="H129" s="31">
        <f t="shared" ca="1" si="67"/>
        <v>86.963741581240356</v>
      </c>
      <c r="I129" s="31">
        <f t="shared" ca="1" si="67"/>
        <v>108.70467697655045</v>
      </c>
      <c r="J129" s="31">
        <f t="shared" ca="1" si="67"/>
        <v>135.88084622068806</v>
      </c>
      <c r="K129" s="31">
        <f t="shared" ca="1" si="67"/>
        <v>169.85105777586006</v>
      </c>
      <c r="L129" s="31">
        <f t="shared" ca="1" si="67"/>
        <v>207.77776823357956</v>
      </c>
      <c r="M129" s="31">
        <f t="shared" ca="1" si="67"/>
        <v>238.97155092486111</v>
      </c>
      <c r="N129" s="31">
        <f t="shared" ca="1" si="67"/>
        <v>262.15258891683447</v>
      </c>
      <c r="O129" s="31">
        <f t="shared" ca="1" si="67"/>
        <v>279.4089835089722</v>
      </c>
      <c r="P129" s="31">
        <f t="shared" ca="1" si="67"/>
        <v>293.38741118964811</v>
      </c>
      <c r="Q129" s="31">
        <f t="shared" ref="Q129" ca="1" si="68">MAX(Q116:Q128)</f>
        <v>309.61441630356347</v>
      </c>
    </row>
    <row r="131" spans="3:17" x14ac:dyDescent="0.5">
      <c r="C131" s="11" t="s">
        <v>58</v>
      </c>
      <c r="D131" s="11"/>
      <c r="E131" s="158">
        <f t="shared" ref="E131:P131" si="69">E45</f>
        <v>2019</v>
      </c>
      <c r="F131" s="158">
        <f t="shared" si="69"/>
        <v>2020</v>
      </c>
      <c r="G131" s="158">
        <f t="shared" si="69"/>
        <v>2021</v>
      </c>
      <c r="H131" s="158">
        <f t="shared" si="69"/>
        <v>2022</v>
      </c>
      <c r="I131" s="158">
        <f t="shared" si="69"/>
        <v>2023</v>
      </c>
      <c r="J131" s="158">
        <f t="shared" si="69"/>
        <v>2024</v>
      </c>
      <c r="K131" s="158">
        <f t="shared" si="69"/>
        <v>2025</v>
      </c>
      <c r="L131" s="158">
        <f t="shared" si="69"/>
        <v>2026</v>
      </c>
      <c r="M131" s="158">
        <f t="shared" si="69"/>
        <v>2027</v>
      </c>
      <c r="N131" s="158">
        <f t="shared" si="69"/>
        <v>2028</v>
      </c>
      <c r="O131" s="158">
        <f t="shared" si="69"/>
        <v>2029</v>
      </c>
      <c r="P131" s="158">
        <f t="shared" si="69"/>
        <v>2030</v>
      </c>
      <c r="Q131" s="158">
        <f t="shared" ref="Q131" si="70">Q45</f>
        <v>2031</v>
      </c>
    </row>
    <row r="132" spans="3:17" x14ac:dyDescent="0.5">
      <c r="C132" s="153" t="str">
        <f t="shared" ref="C132:C139" si="71">C47</f>
        <v>Arbitrage</v>
      </c>
      <c r="E132" s="144">
        <f t="shared" ref="E132:P132" si="72">E47</f>
        <v>3.694414140896269E-2</v>
      </c>
      <c r="F132" s="144">
        <f t="shared" si="72"/>
        <v>8.1779485652700754E-2</v>
      </c>
      <c r="G132" s="144">
        <f t="shared" si="72"/>
        <v>0.15</v>
      </c>
      <c r="H132" s="144">
        <f t="shared" si="72"/>
        <v>0.21822051434729922</v>
      </c>
      <c r="I132" s="144">
        <f t="shared" si="72"/>
        <v>0.26305585859103731</v>
      </c>
      <c r="J132" s="144">
        <f t="shared" si="72"/>
        <v>0.28499999999999992</v>
      </c>
      <c r="K132" s="144">
        <f t="shared" si="72"/>
        <v>0.29419725069004943</v>
      </c>
      <c r="L132" s="144">
        <f t="shared" si="72"/>
        <v>0.29779876257880156</v>
      </c>
      <c r="M132" s="144">
        <f t="shared" si="72"/>
        <v>0.29917127071823202</v>
      </c>
      <c r="N132" s="144">
        <f t="shared" si="72"/>
        <v>0.29968889123793607</v>
      </c>
      <c r="O132" s="144">
        <f t="shared" si="72"/>
        <v>0.29988333442425985</v>
      </c>
      <c r="P132" s="144">
        <f t="shared" si="72"/>
        <v>0.29995626822157434</v>
      </c>
      <c r="Q132" s="144">
        <f t="shared" ref="Q132" si="73">Q47</f>
        <v>0.29998360975205002</v>
      </c>
    </row>
    <row r="133" spans="3:17" x14ac:dyDescent="0.5">
      <c r="C133" s="153" t="str">
        <f t="shared" si="71"/>
        <v>Gaming Point of Sale</v>
      </c>
      <c r="E133" s="144">
        <f t="shared" ref="E133:P133" si="74">E48</f>
        <v>2.9013746549752606E-3</v>
      </c>
      <c r="F133" s="144">
        <f t="shared" si="74"/>
        <v>7.5000000000000075E-3</v>
      </c>
      <c r="G133" s="144">
        <f t="shared" si="74"/>
        <v>1.8472070704481345E-2</v>
      </c>
      <c r="H133" s="144">
        <f t="shared" si="74"/>
        <v>4.0889742826350377E-2</v>
      </c>
      <c r="I133" s="144">
        <f t="shared" si="74"/>
        <v>7.4999999999999997E-2</v>
      </c>
      <c r="J133" s="144">
        <f t="shared" si="74"/>
        <v>0.10911025717364961</v>
      </c>
      <c r="K133" s="144">
        <f t="shared" si="74"/>
        <v>0.13152792929551865</v>
      </c>
      <c r="L133" s="144">
        <f t="shared" si="74"/>
        <v>0.14249999999999996</v>
      </c>
      <c r="M133" s="144">
        <f t="shared" si="74"/>
        <v>0.14709862534502471</v>
      </c>
      <c r="N133" s="144">
        <f t="shared" si="74"/>
        <v>0.14889938128940078</v>
      </c>
      <c r="O133" s="144">
        <f t="shared" si="74"/>
        <v>0.14958563535911601</v>
      </c>
      <c r="P133" s="144">
        <f t="shared" si="74"/>
        <v>0.14984444561896804</v>
      </c>
      <c r="Q133" s="144">
        <f t="shared" ref="Q133" si="75">Q48</f>
        <v>0.14994166721212993</v>
      </c>
    </row>
    <row r="134" spans="3:17" x14ac:dyDescent="0.5">
      <c r="C134" s="153" t="str">
        <f t="shared" si="71"/>
        <v>IoT</v>
      </c>
      <c r="E134" s="144">
        <f t="shared" ref="E134:P134" si="76">E49</f>
        <v>1.2294632013309383E-3</v>
      </c>
      <c r="F134" s="144">
        <f t="shared" si="76"/>
        <v>2.5000000000000027E-3</v>
      </c>
      <c r="G134" s="144">
        <f t="shared" si="76"/>
        <v>4.9502505348558556E-3</v>
      </c>
      <c r="H134" s="144">
        <f t="shared" si="76"/>
        <v>9.3302748431685414E-3</v>
      </c>
      <c r="I134" s="144">
        <f t="shared" si="76"/>
        <v>1.6192771027269695E-2</v>
      </c>
      <c r="J134" s="144">
        <f t="shared" si="76"/>
        <v>2.5000000000000001E-2</v>
      </c>
      <c r="K134" s="144">
        <f t="shared" si="76"/>
        <v>3.3807228972730308E-2</v>
      </c>
      <c r="L134" s="144">
        <f t="shared" si="76"/>
        <v>4.0669725156831461E-2</v>
      </c>
      <c r="M134" s="144">
        <f t="shared" si="76"/>
        <v>4.5049749465144152E-2</v>
      </c>
      <c r="N134" s="144">
        <f t="shared" si="76"/>
        <v>4.7499999999999994E-2</v>
      </c>
      <c r="O134" s="144">
        <f t="shared" si="76"/>
        <v>4.8770536798669072E-2</v>
      </c>
      <c r="P134" s="144">
        <f t="shared" si="76"/>
        <v>4.9403477107558526E-2</v>
      </c>
      <c r="Q134" s="144">
        <f t="shared" ref="Q134" si="77">Q49</f>
        <v>4.9712494106995887E-2</v>
      </c>
    </row>
    <row r="135" spans="3:17" x14ac:dyDescent="0.5">
      <c r="C135" s="153" t="str">
        <f t="shared" si="71"/>
        <v>Content Monetization</v>
      </c>
      <c r="E135" s="144">
        <f t="shared" ref="E135:P135" si="78">E50</f>
        <v>1.2294632013309383E-3</v>
      </c>
      <c r="F135" s="144">
        <f t="shared" si="78"/>
        <v>2.5000000000000027E-3</v>
      </c>
      <c r="G135" s="144">
        <f t="shared" si="78"/>
        <v>4.9502505348558556E-3</v>
      </c>
      <c r="H135" s="144">
        <f t="shared" si="78"/>
        <v>9.3302748431685414E-3</v>
      </c>
      <c r="I135" s="144">
        <f t="shared" si="78"/>
        <v>1.6192771027269695E-2</v>
      </c>
      <c r="J135" s="144">
        <f t="shared" si="78"/>
        <v>2.5000000000000001E-2</v>
      </c>
      <c r="K135" s="144">
        <f t="shared" si="78"/>
        <v>3.3807228972730308E-2</v>
      </c>
      <c r="L135" s="144">
        <f t="shared" si="78"/>
        <v>4.0669725156831461E-2</v>
      </c>
      <c r="M135" s="144">
        <f t="shared" si="78"/>
        <v>4.5049749465144152E-2</v>
      </c>
      <c r="N135" s="144">
        <f t="shared" si="78"/>
        <v>4.7499999999999994E-2</v>
      </c>
      <c r="O135" s="144">
        <f t="shared" si="78"/>
        <v>4.8770536798669072E-2</v>
      </c>
      <c r="P135" s="144">
        <f t="shared" si="78"/>
        <v>4.9403477107558526E-2</v>
      </c>
      <c r="Q135" s="144">
        <f t="shared" ref="Q135" si="79">Q50</f>
        <v>4.9712494106995887E-2</v>
      </c>
    </row>
    <row r="136" spans="3:17" x14ac:dyDescent="0.5">
      <c r="C136" s="153" t="str">
        <f t="shared" si="71"/>
        <v>P2P Payments</v>
      </c>
      <c r="E136" s="144">
        <f t="shared" ref="E136:P136" si="80">E51</f>
        <v>5.9652289244147634E-4</v>
      </c>
      <c r="F136" s="144">
        <f t="shared" si="80"/>
        <v>1.2294632013309383E-3</v>
      </c>
      <c r="G136" s="144">
        <f t="shared" si="80"/>
        <v>2.5000000000000027E-3</v>
      </c>
      <c r="H136" s="144">
        <f t="shared" si="80"/>
        <v>4.9502505348558556E-3</v>
      </c>
      <c r="I136" s="144">
        <f t="shared" si="80"/>
        <v>9.3302748431685414E-3</v>
      </c>
      <c r="J136" s="144">
        <f t="shared" si="80"/>
        <v>1.6192771027269695E-2</v>
      </c>
      <c r="K136" s="144">
        <f t="shared" si="80"/>
        <v>2.5000000000000001E-2</v>
      </c>
      <c r="L136" s="144">
        <f t="shared" si="80"/>
        <v>3.3807228972730308E-2</v>
      </c>
      <c r="M136" s="144">
        <f t="shared" si="80"/>
        <v>4.0669725156831461E-2</v>
      </c>
      <c r="N136" s="144">
        <f t="shared" si="80"/>
        <v>4.5049749465144152E-2</v>
      </c>
      <c r="O136" s="144">
        <f t="shared" si="80"/>
        <v>4.7499999999999994E-2</v>
      </c>
      <c r="P136" s="144">
        <f t="shared" si="80"/>
        <v>4.8770536798669072E-2</v>
      </c>
      <c r="Q136" s="144">
        <f t="shared" ref="Q136" si="81">Q51</f>
        <v>4.9403477107558526E-2</v>
      </c>
    </row>
    <row r="137" spans="3:17" x14ac:dyDescent="0.5">
      <c r="C137" s="153" t="str">
        <f t="shared" si="71"/>
        <v>Point of Sale</v>
      </c>
      <c r="E137" s="144">
        <f t="shared" ref="E137:P137" si="82">E52</f>
        <v>5.9652289244147634E-4</v>
      </c>
      <c r="F137" s="144">
        <f t="shared" si="82"/>
        <v>1.2294632013309383E-3</v>
      </c>
      <c r="G137" s="144">
        <f t="shared" si="82"/>
        <v>2.5000000000000027E-3</v>
      </c>
      <c r="H137" s="144">
        <f t="shared" si="82"/>
        <v>4.9502505348558556E-3</v>
      </c>
      <c r="I137" s="144">
        <f t="shared" si="82"/>
        <v>9.3302748431685414E-3</v>
      </c>
      <c r="J137" s="144">
        <f t="shared" si="82"/>
        <v>1.6192771027269695E-2</v>
      </c>
      <c r="K137" s="144">
        <f t="shared" si="82"/>
        <v>2.5000000000000001E-2</v>
      </c>
      <c r="L137" s="144">
        <f t="shared" si="82"/>
        <v>3.3807228972730308E-2</v>
      </c>
      <c r="M137" s="144">
        <f t="shared" si="82"/>
        <v>4.0669725156831461E-2</v>
      </c>
      <c r="N137" s="144">
        <f t="shared" si="82"/>
        <v>4.5049749465144152E-2</v>
      </c>
      <c r="O137" s="144">
        <f t="shared" si="82"/>
        <v>4.7499999999999994E-2</v>
      </c>
      <c r="P137" s="144">
        <f t="shared" si="82"/>
        <v>4.8770536798669072E-2</v>
      </c>
      <c r="Q137" s="144">
        <f t="shared" ref="Q137" si="83">Q52</f>
        <v>4.9403477107558526E-2</v>
      </c>
    </row>
    <row r="138" spans="3:17" x14ac:dyDescent="0.5">
      <c r="C138" s="153" t="str">
        <f t="shared" si="71"/>
        <v>Game Token Transactions</v>
      </c>
      <c r="E138" s="144">
        <f t="shared" ref="E138:P138" si="84">E53</f>
        <v>1.0000000000000011E-2</v>
      </c>
      <c r="F138" s="144">
        <f t="shared" si="84"/>
        <v>2.462942760597513E-2</v>
      </c>
      <c r="G138" s="144">
        <f t="shared" si="84"/>
        <v>5.4519657101800505E-2</v>
      </c>
      <c r="H138" s="144">
        <f t="shared" si="84"/>
        <v>0.1</v>
      </c>
      <c r="I138" s="144">
        <f t="shared" si="84"/>
        <v>0.1454803428981995</v>
      </c>
      <c r="J138" s="144">
        <f t="shared" si="84"/>
        <v>0.17537057239402487</v>
      </c>
      <c r="K138" s="144">
        <f t="shared" si="84"/>
        <v>0.18999999999999997</v>
      </c>
      <c r="L138" s="144">
        <f t="shared" si="84"/>
        <v>0.196131500460033</v>
      </c>
      <c r="M138" s="144">
        <f t="shared" si="84"/>
        <v>0.19853250838586772</v>
      </c>
      <c r="N138" s="144">
        <f t="shared" si="84"/>
        <v>0.19944751381215473</v>
      </c>
      <c r="O138" s="144">
        <f t="shared" si="84"/>
        <v>0.19979259415862408</v>
      </c>
      <c r="P138" s="144">
        <f t="shared" si="84"/>
        <v>0.19992222294950657</v>
      </c>
      <c r="Q138" s="144">
        <f t="shared" ref="Q138" si="85">Q53</f>
        <v>0.1999708454810496</v>
      </c>
    </row>
    <row r="139" spans="3:17" x14ac:dyDescent="0.5">
      <c r="C139" s="153" t="str">
        <f t="shared" si="71"/>
        <v>Remittances</v>
      </c>
      <c r="E139" s="144">
        <f t="shared" ref="E139:P139" si="86">E54</f>
        <v>9.8357056106475067E-4</v>
      </c>
      <c r="F139" s="144">
        <f t="shared" si="86"/>
        <v>2.0000000000000022E-3</v>
      </c>
      <c r="G139" s="144">
        <f t="shared" si="86"/>
        <v>3.9602004278846839E-3</v>
      </c>
      <c r="H139" s="144">
        <f t="shared" si="86"/>
        <v>7.4642198745348337E-3</v>
      </c>
      <c r="I139" s="144">
        <f t="shared" si="86"/>
        <v>1.2954216821815755E-2</v>
      </c>
      <c r="J139" s="144">
        <f t="shared" si="86"/>
        <v>0.02</v>
      </c>
      <c r="K139" s="144">
        <f t="shared" si="86"/>
        <v>2.7045783178184245E-2</v>
      </c>
      <c r="L139" s="144">
        <f t="shared" si="86"/>
        <v>3.2535780125465166E-2</v>
      </c>
      <c r="M139" s="144">
        <f t="shared" si="86"/>
        <v>3.6039799572115318E-2</v>
      </c>
      <c r="N139" s="144">
        <f t="shared" si="86"/>
        <v>3.7999999999999992E-2</v>
      </c>
      <c r="O139" s="144">
        <f t="shared" si="86"/>
        <v>3.9016429438935255E-2</v>
      </c>
      <c r="P139" s="144">
        <f t="shared" si="86"/>
        <v>3.9522781686046823E-2</v>
      </c>
      <c r="Q139" s="144">
        <f t="shared" ref="Q139" si="87">Q54</f>
        <v>3.9769995285596708E-2</v>
      </c>
    </row>
    <row r="141" spans="3:17" x14ac:dyDescent="0.5">
      <c r="C141" s="11"/>
      <c r="D141" s="11"/>
      <c r="E141" s="158">
        <f>E131</f>
        <v>2019</v>
      </c>
      <c r="F141" s="158">
        <f t="shared" ref="F141:Q141" si="88">F131</f>
        <v>2020</v>
      </c>
      <c r="G141" s="158">
        <f t="shared" si="88"/>
        <v>2021</v>
      </c>
      <c r="H141" s="158">
        <f t="shared" si="88"/>
        <v>2022</v>
      </c>
      <c r="I141" s="158">
        <f t="shared" si="88"/>
        <v>2023</v>
      </c>
      <c r="J141" s="158">
        <f t="shared" si="88"/>
        <v>2024</v>
      </c>
      <c r="K141" s="158">
        <f t="shared" si="88"/>
        <v>2025</v>
      </c>
      <c r="L141" s="158">
        <f t="shared" si="88"/>
        <v>2026</v>
      </c>
      <c r="M141" s="158">
        <f t="shared" si="88"/>
        <v>2027</v>
      </c>
      <c r="N141" s="158">
        <f t="shared" si="88"/>
        <v>2028</v>
      </c>
      <c r="O141" s="158">
        <f t="shared" si="88"/>
        <v>2029</v>
      </c>
      <c r="P141" s="158">
        <f t="shared" si="88"/>
        <v>2030</v>
      </c>
      <c r="Q141" s="158">
        <f t="shared" si="88"/>
        <v>2031</v>
      </c>
    </row>
    <row r="142" spans="3:17" x14ac:dyDescent="0.5">
      <c r="C142" t="s">
        <v>105</v>
      </c>
      <c r="E142" s="156">
        <f>$Q$16</f>
        <v>0.25</v>
      </c>
      <c r="F142" s="156">
        <f t="shared" ref="F142:Q142" si="89">$Q$16</f>
        <v>0.25</v>
      </c>
      <c r="G142" s="156">
        <f t="shared" si="89"/>
        <v>0.25</v>
      </c>
      <c r="H142" s="156">
        <f t="shared" si="89"/>
        <v>0.25</v>
      </c>
      <c r="I142" s="156">
        <f t="shared" si="89"/>
        <v>0.25</v>
      </c>
      <c r="J142" s="156">
        <f t="shared" si="89"/>
        <v>0.25</v>
      </c>
      <c r="K142" s="156">
        <f t="shared" si="89"/>
        <v>0.25</v>
      </c>
      <c r="L142" s="156">
        <f t="shared" si="89"/>
        <v>0.25</v>
      </c>
      <c r="M142" s="156">
        <f t="shared" si="89"/>
        <v>0.25</v>
      </c>
      <c r="N142" s="156">
        <f t="shared" si="89"/>
        <v>0.25</v>
      </c>
      <c r="O142" s="156">
        <f t="shared" si="89"/>
        <v>0.25</v>
      </c>
      <c r="P142" s="156">
        <f t="shared" si="89"/>
        <v>0.25</v>
      </c>
      <c r="Q142" s="156">
        <f t="shared" si="89"/>
        <v>0.25</v>
      </c>
    </row>
  </sheetData>
  <conditionalFormatting sqref="E92">
    <cfRule type="cellIs" dxfId="1" priority="1" operator="lessThan">
      <formula>0</formula>
    </cfRule>
    <cfRule type="cellIs" dxfId="0" priority="2" operator="greaterThanOrEqual">
      <formula>0</formula>
    </cfRule>
  </conditionalFormatting>
  <hyperlinks>
    <hyperlink ref="T28" r:id="rId1" xr:uid="{D1206AAB-086D-4955-9B43-982E18964B51}"/>
    <hyperlink ref="T29" r:id="rId2" xr:uid="{30D36A49-4BCC-48E6-BE6D-BDCF5762CD15}"/>
  </hyperlinks>
  <pageMargins left="0.7" right="0.7" top="0.75" bottom="0.75" header="0.3" footer="0.3"/>
  <pageSetup scale="21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07D6-BE50-4347-966D-7FFE1DCB0C4B}">
  <dimension ref="C1:AG32"/>
  <sheetViews>
    <sheetView showGridLines="0" view="pageBreakPreview" zoomScale="70" zoomScaleNormal="78" zoomScaleSheetLayoutView="70" workbookViewId="0">
      <selection activeCell="H7" sqref="H7"/>
    </sheetView>
  </sheetViews>
  <sheetFormatPr defaultColWidth="8.8125" defaultRowHeight="15.75" x14ac:dyDescent="0.5"/>
  <cols>
    <col min="1" max="1" width="3.5" customWidth="1"/>
    <col min="2" max="2" width="1.5" customWidth="1"/>
    <col min="3" max="3" width="26.6875" bestFit="1" customWidth="1"/>
    <col min="4" max="19" width="9.5" bestFit="1" customWidth="1"/>
    <col min="20" max="20" width="1.5" customWidth="1"/>
  </cols>
  <sheetData>
    <row r="1" spans="3:33" ht="6" customHeight="1" x14ac:dyDescent="0.5"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</row>
    <row r="2" spans="3:33" ht="6" customHeight="1" x14ac:dyDescent="0.5"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</row>
    <row r="3" spans="3:33" ht="15" customHeight="1" x14ac:dyDescent="0.5">
      <c r="C3" s="78" t="s">
        <v>83</v>
      </c>
      <c r="D3" s="78"/>
      <c r="E3" s="78">
        <f t="shared" ref="E3:F3" si="0">F3-1</f>
        <v>2017</v>
      </c>
      <c r="F3" s="78">
        <f t="shared" si="0"/>
        <v>2018</v>
      </c>
      <c r="G3" s="79">
        <f>H3-1</f>
        <v>2019</v>
      </c>
      <c r="H3" s="79">
        <f>I3-1</f>
        <v>2020</v>
      </c>
      <c r="I3" s="79">
        <v>2021</v>
      </c>
      <c r="J3" s="79">
        <f>I3+1</f>
        <v>2022</v>
      </c>
      <c r="K3" s="79">
        <f t="shared" ref="K3" si="1">J3+1</f>
        <v>2023</v>
      </c>
      <c r="L3" s="79">
        <f t="shared" ref="L3" si="2">K3+1</f>
        <v>2024</v>
      </c>
      <c r="M3" s="79">
        <f t="shared" ref="M3" si="3">L3+1</f>
        <v>2025</v>
      </c>
      <c r="N3" s="79">
        <f t="shared" ref="N3" si="4">M3+1</f>
        <v>2026</v>
      </c>
      <c r="O3" s="79">
        <f t="shared" ref="O3" si="5">N3+1</f>
        <v>2027</v>
      </c>
      <c r="P3" s="79">
        <f t="shared" ref="P3" si="6">O3+1</f>
        <v>2028</v>
      </c>
      <c r="Q3" s="79">
        <f t="shared" ref="Q3" si="7">P3+1</f>
        <v>2029</v>
      </c>
      <c r="R3" s="79">
        <f t="shared" ref="R3:S3" si="8">Q3+1</f>
        <v>2030</v>
      </c>
      <c r="S3" s="79">
        <f t="shared" si="8"/>
        <v>2031</v>
      </c>
    </row>
    <row r="4" spans="3:33" ht="15" customHeight="1" x14ac:dyDescent="0.5">
      <c r="C4" s="107" t="str">
        <f t="shared" ref="C4:C10" si="9">C24</f>
        <v>Arbitrage</v>
      </c>
      <c r="D4" s="108"/>
      <c r="E4" s="65">
        <f t="shared" ref="E4:S4" si="10">E24*E14</f>
        <v>300</v>
      </c>
      <c r="F4" s="65">
        <f t="shared" si="10"/>
        <v>330</v>
      </c>
      <c r="G4" s="65">
        <f t="shared" si="10"/>
        <v>363.00000000000006</v>
      </c>
      <c r="H4" s="65">
        <f t="shared" si="10"/>
        <v>399.30000000000007</v>
      </c>
      <c r="I4" s="65">
        <f t="shared" si="10"/>
        <v>439.23000000000013</v>
      </c>
      <c r="J4" s="65">
        <f t="shared" si="10"/>
        <v>483.15300000000019</v>
      </c>
      <c r="K4" s="65">
        <f t="shared" si="10"/>
        <v>531.46830000000023</v>
      </c>
      <c r="L4" s="65">
        <f t="shared" si="10"/>
        <v>584.61513000000025</v>
      </c>
      <c r="M4" s="65">
        <f t="shared" si="10"/>
        <v>643.07664300000033</v>
      </c>
      <c r="N4" s="65">
        <f t="shared" si="10"/>
        <v>707.38430730000039</v>
      </c>
      <c r="O4" s="65">
        <f t="shared" si="10"/>
        <v>778.12273803000051</v>
      </c>
      <c r="P4" s="65">
        <f t="shared" si="10"/>
        <v>855.93501183300066</v>
      </c>
      <c r="Q4" s="65">
        <f t="shared" si="10"/>
        <v>941.52851301630085</v>
      </c>
      <c r="R4" s="65">
        <f t="shared" si="10"/>
        <v>1035.681364317931</v>
      </c>
      <c r="S4" s="65">
        <f t="shared" si="10"/>
        <v>1139.2495007497241</v>
      </c>
    </row>
    <row r="5" spans="3:33" ht="15" customHeight="1" x14ac:dyDescent="0.5">
      <c r="C5" s="14" t="str">
        <f t="shared" si="9"/>
        <v>Gaming Point of Sale</v>
      </c>
      <c r="D5" s="12"/>
      <c r="E5" s="9">
        <f t="shared" ref="E5:S5" si="11">E25*E15</f>
        <v>60</v>
      </c>
      <c r="F5" s="9">
        <f t="shared" si="11"/>
        <v>64.800000000000011</v>
      </c>
      <c r="G5" s="9">
        <f t="shared" si="11"/>
        <v>69.984000000000023</v>
      </c>
      <c r="H5" s="9">
        <f t="shared" si="11"/>
        <v>75.582720000000023</v>
      </c>
      <c r="I5" s="9">
        <f t="shared" si="11"/>
        <v>81.629337600000028</v>
      </c>
      <c r="J5" s="9">
        <f t="shared" si="11"/>
        <v>88.159684608000035</v>
      </c>
      <c r="K5" s="9">
        <f t="shared" si="11"/>
        <v>95.212459376640041</v>
      </c>
      <c r="L5" s="9">
        <f t="shared" si="11"/>
        <v>102.82945612677125</v>
      </c>
      <c r="M5" s="9">
        <f t="shared" si="11"/>
        <v>111.05581261691296</v>
      </c>
      <c r="N5" s="9">
        <f t="shared" si="11"/>
        <v>119.94027762626601</v>
      </c>
      <c r="O5" s="9">
        <f t="shared" si="11"/>
        <v>129.53549983636731</v>
      </c>
      <c r="P5" s="9">
        <f t="shared" si="11"/>
        <v>139.8983398232767</v>
      </c>
      <c r="Q5" s="9">
        <f t="shared" si="11"/>
        <v>151.09020700913885</v>
      </c>
      <c r="R5" s="9">
        <f t="shared" si="11"/>
        <v>163.17742356986997</v>
      </c>
      <c r="S5" s="9">
        <f t="shared" si="11"/>
        <v>176.23161745545957</v>
      </c>
    </row>
    <row r="6" spans="3:33" ht="15" customHeight="1" x14ac:dyDescent="0.5">
      <c r="C6" s="14" t="str">
        <f t="shared" si="9"/>
        <v>IoT</v>
      </c>
      <c r="D6" s="12"/>
      <c r="E6" s="9">
        <f t="shared" ref="E6:S6" si="12">E26*E16</f>
        <v>0</v>
      </c>
      <c r="F6" s="9">
        <f t="shared" si="12"/>
        <v>0</v>
      </c>
      <c r="G6" s="9">
        <f t="shared" si="12"/>
        <v>0</v>
      </c>
      <c r="H6" s="9">
        <f t="shared" si="12"/>
        <v>22.725627749999997</v>
      </c>
      <c r="I6" s="9">
        <f t="shared" si="12"/>
        <v>51.359918714999985</v>
      </c>
      <c r="J6" s="9">
        <f t="shared" si="12"/>
        <v>87.05506222192497</v>
      </c>
      <c r="K6" s="9">
        <f t="shared" si="12"/>
        <v>131.16296041436692</v>
      </c>
      <c r="L6" s="9">
        <f t="shared" si="12"/>
        <v>185.26768158529325</v>
      </c>
      <c r="M6" s="9">
        <f t="shared" si="12"/>
        <v>251.2229762296576</v>
      </c>
      <c r="N6" s="9">
        <f t="shared" si="12"/>
        <v>331.19562366276523</v>
      </c>
      <c r="O6" s="9">
        <f t="shared" si="12"/>
        <v>427.71549113019961</v>
      </c>
      <c r="P6" s="9">
        <f t="shared" si="12"/>
        <v>543.73331809926617</v>
      </c>
      <c r="Q6" s="9">
        <f t="shared" si="12"/>
        <v>682.68738828018968</v>
      </c>
      <c r="R6" s="9">
        <f t="shared" si="12"/>
        <v>848.58042363227571</v>
      </c>
      <c r="S6" s="9">
        <f t="shared" si="12"/>
        <v>1046.0682313139689</v>
      </c>
    </row>
    <row r="7" spans="3:33" ht="15" customHeight="1" x14ac:dyDescent="0.5">
      <c r="C7" s="14" t="str">
        <f t="shared" si="9"/>
        <v>Content Monetization</v>
      </c>
      <c r="D7" s="12"/>
      <c r="E7" s="9">
        <f t="shared" ref="E7:S7" si="13">E27*E17</f>
        <v>205</v>
      </c>
      <c r="F7" s="9">
        <f t="shared" si="13"/>
        <v>225.50000000000003</v>
      </c>
      <c r="G7" s="9">
        <f t="shared" si="13"/>
        <v>248.05000000000004</v>
      </c>
      <c r="H7" s="9">
        <f t="shared" si="13"/>
        <v>272.85500000000008</v>
      </c>
      <c r="I7" s="9">
        <f t="shared" si="13"/>
        <v>300.14050000000009</v>
      </c>
      <c r="J7" s="9">
        <f t="shared" si="13"/>
        <v>330.15455000000014</v>
      </c>
      <c r="K7" s="9">
        <f t="shared" si="13"/>
        <v>363.17000500000017</v>
      </c>
      <c r="L7" s="9">
        <f t="shared" si="13"/>
        <v>399.48700550000024</v>
      </c>
      <c r="M7" s="9">
        <f t="shared" si="13"/>
        <v>439.43570605000031</v>
      </c>
      <c r="N7" s="9">
        <f t="shared" si="13"/>
        <v>483.37927665500035</v>
      </c>
      <c r="O7" s="9">
        <f t="shared" si="13"/>
        <v>531.7172043205004</v>
      </c>
      <c r="P7" s="9">
        <f t="shared" si="13"/>
        <v>584.88892475255045</v>
      </c>
      <c r="Q7" s="9">
        <f t="shared" si="13"/>
        <v>643.37781722780551</v>
      </c>
      <c r="R7" s="9">
        <f t="shared" si="13"/>
        <v>707.71559895058613</v>
      </c>
      <c r="S7" s="9">
        <f t="shared" si="13"/>
        <v>778.48715884564479</v>
      </c>
    </row>
    <row r="8" spans="3:33" ht="15" customHeight="1" x14ac:dyDescent="0.5">
      <c r="C8" s="14" t="str">
        <f t="shared" si="9"/>
        <v>P2P Payments</v>
      </c>
      <c r="D8" s="10"/>
      <c r="E8" s="9">
        <f t="shared" ref="E8:S8" si="14">E28*E18</f>
        <v>60</v>
      </c>
      <c r="F8" s="9">
        <f t="shared" si="14"/>
        <v>71.399999999999991</v>
      </c>
      <c r="G8" s="9">
        <f t="shared" si="14"/>
        <v>84.96599999999998</v>
      </c>
      <c r="H8" s="9">
        <f t="shared" si="14"/>
        <v>101.10953999999997</v>
      </c>
      <c r="I8" s="9">
        <f t="shared" si="14"/>
        <v>120.32035259999995</v>
      </c>
      <c r="J8" s="9">
        <f t="shared" si="14"/>
        <v>143.18121959399994</v>
      </c>
      <c r="K8" s="9">
        <f t="shared" si="14"/>
        <v>170.38565131685993</v>
      </c>
      <c r="L8" s="9">
        <f t="shared" si="14"/>
        <v>202.7589250670633</v>
      </c>
      <c r="M8" s="9">
        <f t="shared" si="14"/>
        <v>241.28312082980531</v>
      </c>
      <c r="N8" s="9">
        <f t="shared" si="14"/>
        <v>287.12691378746831</v>
      </c>
      <c r="O8" s="9">
        <f t="shared" si="14"/>
        <v>341.6810274070873</v>
      </c>
      <c r="P8" s="9">
        <f t="shared" si="14"/>
        <v>406.60042261443385</v>
      </c>
      <c r="Q8" s="9">
        <f t="shared" si="14"/>
        <v>483.85450291117627</v>
      </c>
      <c r="R8" s="9">
        <f t="shared" si="14"/>
        <v>575.78685846429971</v>
      </c>
      <c r="S8" s="9">
        <f t="shared" si="14"/>
        <v>685.1863615725166</v>
      </c>
    </row>
    <row r="9" spans="3:33" ht="15" customHeight="1" x14ac:dyDescent="0.5">
      <c r="C9" s="14" t="str">
        <f t="shared" si="9"/>
        <v>Point of Sale</v>
      </c>
      <c r="D9" s="10"/>
      <c r="E9" s="9">
        <f t="shared" ref="E9:S9" si="15">E29*E19</f>
        <v>5440</v>
      </c>
      <c r="F9" s="9">
        <f t="shared" si="15"/>
        <v>5820.8</v>
      </c>
      <c r="G9" s="9">
        <f t="shared" si="15"/>
        <v>6228.2560000000003</v>
      </c>
      <c r="H9" s="9">
        <f t="shared" si="15"/>
        <v>6664.2339200000006</v>
      </c>
      <c r="I9" s="9">
        <f t="shared" si="15"/>
        <v>7130.7302944000012</v>
      </c>
      <c r="J9" s="9">
        <f t="shared" si="15"/>
        <v>7629.8814150080016</v>
      </c>
      <c r="K9" s="9">
        <f t="shared" si="15"/>
        <v>8163.9731140585618</v>
      </c>
      <c r="L9" s="9">
        <f t="shared" si="15"/>
        <v>8735.451232042662</v>
      </c>
      <c r="M9" s="9">
        <f t="shared" si="15"/>
        <v>9346.9328182856498</v>
      </c>
      <c r="N9" s="9">
        <f t="shared" si="15"/>
        <v>10001.218115565645</v>
      </c>
      <c r="O9" s="9">
        <f t="shared" si="15"/>
        <v>10701.30338365524</v>
      </c>
      <c r="P9" s="9">
        <f t="shared" si="15"/>
        <v>11450.394620511108</v>
      </c>
      <c r="Q9" s="9">
        <f t="shared" si="15"/>
        <v>12251.922243946887</v>
      </c>
      <c r="R9" s="9">
        <f t="shared" si="15"/>
        <v>13109.556801023169</v>
      </c>
      <c r="S9" s="9">
        <f t="shared" si="15"/>
        <v>14027.225777094793</v>
      </c>
    </row>
    <row r="10" spans="3:33" ht="15" customHeight="1" x14ac:dyDescent="0.5">
      <c r="C10" s="14" t="str">
        <f t="shared" si="9"/>
        <v>Game Token Transactions</v>
      </c>
      <c r="D10" s="10"/>
      <c r="E10" s="9">
        <f t="shared" ref="E10:S10" si="16">E30*E20</f>
        <v>50</v>
      </c>
      <c r="F10" s="9">
        <f t="shared" si="16"/>
        <v>54</v>
      </c>
      <c r="G10" s="9">
        <f t="shared" si="16"/>
        <v>58.320000000000007</v>
      </c>
      <c r="H10" s="9">
        <f t="shared" si="16"/>
        <v>62.985600000000012</v>
      </c>
      <c r="I10" s="9">
        <f t="shared" si="16"/>
        <v>68.024448000000021</v>
      </c>
      <c r="J10" s="9">
        <f t="shared" si="16"/>
        <v>73.466403840000027</v>
      </c>
      <c r="K10" s="9">
        <f t="shared" si="16"/>
        <v>79.343716147200027</v>
      </c>
      <c r="L10" s="9">
        <f t="shared" si="16"/>
        <v>85.691213438976035</v>
      </c>
      <c r="M10" s="9">
        <f t="shared" si="16"/>
        <v>92.546510514094123</v>
      </c>
      <c r="N10" s="9">
        <f t="shared" si="16"/>
        <v>99.950231355221661</v>
      </c>
      <c r="O10" s="9">
        <f t="shared" si="16"/>
        <v>107.94624986363939</v>
      </c>
      <c r="P10" s="9">
        <f t="shared" si="16"/>
        <v>116.58194985273056</v>
      </c>
      <c r="Q10" s="9">
        <f t="shared" si="16"/>
        <v>125.90850584094902</v>
      </c>
      <c r="R10" s="9">
        <f t="shared" si="16"/>
        <v>135.98118630822495</v>
      </c>
      <c r="S10" s="9">
        <f t="shared" si="16"/>
        <v>146.85968121288295</v>
      </c>
    </row>
    <row r="11" spans="3:33" ht="15" customHeight="1" x14ac:dyDescent="0.5">
      <c r="C11" s="14" t="s">
        <v>81</v>
      </c>
      <c r="D11" s="10"/>
      <c r="E11" s="9">
        <f t="shared" ref="E11:S11" si="17">E31*E21</f>
        <v>610</v>
      </c>
      <c r="F11" s="9">
        <f t="shared" si="17"/>
        <v>652.58289703315882</v>
      </c>
      <c r="G11" s="9">
        <f t="shared" si="17"/>
        <v>698.13842213145961</v>
      </c>
      <c r="H11" s="9">
        <f t="shared" si="17"/>
        <v>746.87408859787911</v>
      </c>
      <c r="I11" s="9">
        <f t="shared" si="17"/>
        <v>799.01189582984273</v>
      </c>
      <c r="J11" s="9">
        <f t="shared" si="17"/>
        <v>854.78934056491028</v>
      </c>
      <c r="K11" s="9">
        <f t="shared" si="17"/>
        <v>914.4604987195288</v>
      </c>
      <c r="L11" s="9">
        <f t="shared" si="17"/>
        <v>978.29718274881532</v>
      </c>
      <c r="M11" s="9">
        <f t="shared" si="17"/>
        <v>1046.5901797993433</v>
      </c>
      <c r="N11" s="9">
        <f t="shared" si="17"/>
        <v>1119.6505762949346</v>
      </c>
      <c r="O11" s="9">
        <f t="shared" si="17"/>
        <v>1197.8111749891709</v>
      </c>
      <c r="P11" s="9">
        <f t="shared" si="17"/>
        <v>1281.4280109395493</v>
      </c>
      <c r="Q11" s="9">
        <f t="shared" si="17"/>
        <v>1370.8819733088023</v>
      </c>
      <c r="R11" s="9">
        <f t="shared" si="17"/>
        <v>1466.58054038097</v>
      </c>
      <c r="S11" s="9">
        <f t="shared" si="17"/>
        <v>1568.9596356955228</v>
      </c>
    </row>
    <row r="12" spans="3:33" x14ac:dyDescent="0.5">
      <c r="C12" s="14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3:33" ht="15" customHeight="1" x14ac:dyDescent="0.5">
      <c r="C13" s="111" t="s">
        <v>82</v>
      </c>
      <c r="D13" s="112"/>
      <c r="E13" s="113">
        <f t="shared" ref="E13:F13" si="18">F13-1</f>
        <v>2017</v>
      </c>
      <c r="F13" s="113">
        <f t="shared" si="18"/>
        <v>2018</v>
      </c>
      <c r="G13" s="113">
        <f>H13-1</f>
        <v>2019</v>
      </c>
      <c r="H13" s="113">
        <f>I13-1</f>
        <v>2020</v>
      </c>
      <c r="I13" s="113">
        <v>2021</v>
      </c>
      <c r="J13" s="113">
        <f>I13+1</f>
        <v>2022</v>
      </c>
      <c r="K13" s="113">
        <f t="shared" ref="K13" si="19">J13+1</f>
        <v>2023</v>
      </c>
      <c r="L13" s="113">
        <f t="shared" ref="L13" si="20">K13+1</f>
        <v>2024</v>
      </c>
      <c r="M13" s="113">
        <f t="shared" ref="M13" si="21">L13+1</f>
        <v>2025</v>
      </c>
      <c r="N13" s="113">
        <f t="shared" ref="N13" si="22">M13+1</f>
        <v>2026</v>
      </c>
      <c r="O13" s="113">
        <f t="shared" ref="O13" si="23">N13+1</f>
        <v>2027</v>
      </c>
      <c r="P13" s="113">
        <f t="shared" ref="P13" si="24">O13+1</f>
        <v>2028</v>
      </c>
      <c r="Q13" s="113">
        <f t="shared" ref="Q13" si="25">P13+1</f>
        <v>2029</v>
      </c>
      <c r="R13" s="113">
        <f t="shared" ref="R13:S13" si="26">Q13+1</f>
        <v>2030</v>
      </c>
      <c r="S13" s="113">
        <f t="shared" si="26"/>
        <v>2031</v>
      </c>
    </row>
    <row r="14" spans="3:33" ht="15" customHeight="1" x14ac:dyDescent="0.5">
      <c r="C14" s="107" t="str">
        <f t="shared" ref="C14:C20" si="27">C24</f>
        <v>Arbitrage</v>
      </c>
      <c r="D14" s="109"/>
      <c r="E14" s="110">
        <v>1</v>
      </c>
      <c r="F14" s="151">
        <f t="shared" ref="F14:S15" si="28">E14</f>
        <v>1</v>
      </c>
      <c r="G14" s="151">
        <f t="shared" si="28"/>
        <v>1</v>
      </c>
      <c r="H14" s="151">
        <f t="shared" si="28"/>
        <v>1</v>
      </c>
      <c r="I14" s="151">
        <f t="shared" si="28"/>
        <v>1</v>
      </c>
      <c r="J14" s="151">
        <f t="shared" si="28"/>
        <v>1</v>
      </c>
      <c r="K14" s="151">
        <f t="shared" si="28"/>
        <v>1</v>
      </c>
      <c r="L14" s="151">
        <f t="shared" si="28"/>
        <v>1</v>
      </c>
      <c r="M14" s="151">
        <f t="shared" si="28"/>
        <v>1</v>
      </c>
      <c r="N14" s="151">
        <f t="shared" si="28"/>
        <v>1</v>
      </c>
      <c r="O14" s="151">
        <f t="shared" si="28"/>
        <v>1</v>
      </c>
      <c r="P14" s="151">
        <f t="shared" si="28"/>
        <v>1</v>
      </c>
      <c r="Q14" s="151">
        <f t="shared" si="28"/>
        <v>1</v>
      </c>
      <c r="R14" s="151">
        <f t="shared" si="28"/>
        <v>1</v>
      </c>
      <c r="S14" s="151">
        <f t="shared" si="28"/>
        <v>1</v>
      </c>
    </row>
    <row r="15" spans="3:33" ht="15" customHeight="1" x14ac:dyDescent="0.5">
      <c r="C15" s="14" t="str">
        <f t="shared" si="27"/>
        <v>Gaming Point of Sale</v>
      </c>
      <c r="D15" s="68"/>
      <c r="E15" s="51">
        <v>1</v>
      </c>
      <c r="F15" s="152">
        <f t="shared" si="28"/>
        <v>1</v>
      </c>
      <c r="G15" s="152">
        <f t="shared" si="28"/>
        <v>1</v>
      </c>
      <c r="H15" s="152">
        <f t="shared" si="28"/>
        <v>1</v>
      </c>
      <c r="I15" s="152">
        <f t="shared" si="28"/>
        <v>1</v>
      </c>
      <c r="J15" s="152">
        <f t="shared" si="28"/>
        <v>1</v>
      </c>
      <c r="K15" s="152">
        <f t="shared" si="28"/>
        <v>1</v>
      </c>
      <c r="L15" s="152">
        <f t="shared" si="28"/>
        <v>1</v>
      </c>
      <c r="M15" s="152">
        <f t="shared" si="28"/>
        <v>1</v>
      </c>
      <c r="N15" s="152">
        <f t="shared" si="28"/>
        <v>1</v>
      </c>
      <c r="O15" s="152">
        <f t="shared" si="28"/>
        <v>1</v>
      </c>
      <c r="P15" s="152">
        <f t="shared" si="28"/>
        <v>1</v>
      </c>
      <c r="Q15" s="152">
        <f t="shared" si="28"/>
        <v>1</v>
      </c>
      <c r="R15" s="152">
        <f t="shared" si="28"/>
        <v>1</v>
      </c>
      <c r="S15" s="152">
        <f t="shared" si="28"/>
        <v>1</v>
      </c>
    </row>
    <row r="16" spans="3:33" ht="15" customHeight="1" x14ac:dyDescent="0.5">
      <c r="C16" s="14" t="str">
        <f t="shared" si="27"/>
        <v>IoT</v>
      </c>
      <c r="D16" s="50"/>
      <c r="E16" s="51">
        <v>0</v>
      </c>
      <c r="F16" s="51">
        <v>0</v>
      </c>
      <c r="G16" s="51">
        <v>0</v>
      </c>
      <c r="H16" s="51">
        <f>G16+0.05</f>
        <v>0.05</v>
      </c>
      <c r="I16" s="51">
        <f t="shared" ref="I16:S16" si="29">H16+0.05</f>
        <v>0.1</v>
      </c>
      <c r="J16" s="51">
        <f t="shared" si="29"/>
        <v>0.15000000000000002</v>
      </c>
      <c r="K16" s="51">
        <f t="shared" si="29"/>
        <v>0.2</v>
      </c>
      <c r="L16" s="51">
        <f t="shared" si="29"/>
        <v>0.25</v>
      </c>
      <c r="M16" s="51">
        <f t="shared" si="29"/>
        <v>0.3</v>
      </c>
      <c r="N16" s="51">
        <f t="shared" si="29"/>
        <v>0.35</v>
      </c>
      <c r="O16" s="51">
        <f t="shared" si="29"/>
        <v>0.39999999999999997</v>
      </c>
      <c r="P16" s="51">
        <f t="shared" si="29"/>
        <v>0.44999999999999996</v>
      </c>
      <c r="Q16" s="51">
        <f t="shared" si="29"/>
        <v>0.49999999999999994</v>
      </c>
      <c r="R16" s="51">
        <f t="shared" si="29"/>
        <v>0.54999999999999993</v>
      </c>
      <c r="S16" s="51">
        <f t="shared" si="29"/>
        <v>0.6</v>
      </c>
    </row>
    <row r="17" spans="3:33" ht="15" customHeight="1" x14ac:dyDescent="0.5">
      <c r="C17" s="14" t="str">
        <f t="shared" si="27"/>
        <v>Content Monetization</v>
      </c>
      <c r="D17" s="68"/>
      <c r="E17" s="51">
        <v>1</v>
      </c>
      <c r="F17" s="152">
        <f t="shared" ref="F17:S17" si="30">E17</f>
        <v>1</v>
      </c>
      <c r="G17" s="152">
        <f t="shared" si="30"/>
        <v>1</v>
      </c>
      <c r="H17" s="152">
        <f t="shared" si="30"/>
        <v>1</v>
      </c>
      <c r="I17" s="152">
        <f t="shared" si="30"/>
        <v>1</v>
      </c>
      <c r="J17" s="152">
        <f t="shared" si="30"/>
        <v>1</v>
      </c>
      <c r="K17" s="152">
        <f t="shared" si="30"/>
        <v>1</v>
      </c>
      <c r="L17" s="152">
        <f t="shared" si="30"/>
        <v>1</v>
      </c>
      <c r="M17" s="152">
        <f t="shared" si="30"/>
        <v>1</v>
      </c>
      <c r="N17" s="152">
        <f t="shared" si="30"/>
        <v>1</v>
      </c>
      <c r="O17" s="152">
        <f t="shared" si="30"/>
        <v>1</v>
      </c>
      <c r="P17" s="152">
        <f t="shared" si="30"/>
        <v>1</v>
      </c>
      <c r="Q17" s="152">
        <f t="shared" si="30"/>
        <v>1</v>
      </c>
      <c r="R17" s="152">
        <f t="shared" si="30"/>
        <v>1</v>
      </c>
      <c r="S17" s="152">
        <f t="shared" si="30"/>
        <v>1</v>
      </c>
    </row>
    <row r="18" spans="3:33" ht="15" customHeight="1" x14ac:dyDescent="0.5">
      <c r="C18" s="14" t="str">
        <f t="shared" si="27"/>
        <v>P2P Payments</v>
      </c>
      <c r="D18" s="68"/>
      <c r="E18" s="51">
        <v>1</v>
      </c>
      <c r="F18" s="152">
        <f t="shared" ref="F18:S18" si="31">E18</f>
        <v>1</v>
      </c>
      <c r="G18" s="152">
        <f t="shared" si="31"/>
        <v>1</v>
      </c>
      <c r="H18" s="152">
        <f t="shared" si="31"/>
        <v>1</v>
      </c>
      <c r="I18" s="152">
        <f t="shared" si="31"/>
        <v>1</v>
      </c>
      <c r="J18" s="152">
        <f t="shared" si="31"/>
        <v>1</v>
      </c>
      <c r="K18" s="152">
        <f t="shared" si="31"/>
        <v>1</v>
      </c>
      <c r="L18" s="152">
        <f t="shared" si="31"/>
        <v>1</v>
      </c>
      <c r="M18" s="152">
        <f t="shared" si="31"/>
        <v>1</v>
      </c>
      <c r="N18" s="152">
        <f t="shared" si="31"/>
        <v>1</v>
      </c>
      <c r="O18" s="152">
        <f t="shared" si="31"/>
        <v>1</v>
      </c>
      <c r="P18" s="152">
        <f t="shared" si="31"/>
        <v>1</v>
      </c>
      <c r="Q18" s="152">
        <f t="shared" si="31"/>
        <v>1</v>
      </c>
      <c r="R18" s="152">
        <f t="shared" si="31"/>
        <v>1</v>
      </c>
      <c r="S18" s="152">
        <f t="shared" si="31"/>
        <v>1</v>
      </c>
    </row>
    <row r="19" spans="3:33" ht="15" customHeight="1" x14ac:dyDescent="0.5">
      <c r="C19" s="14" t="str">
        <f t="shared" si="27"/>
        <v>Point of Sale</v>
      </c>
      <c r="D19" s="68"/>
      <c r="E19" s="51">
        <v>1</v>
      </c>
      <c r="F19" s="152">
        <f t="shared" ref="F19:S19" si="32">E19</f>
        <v>1</v>
      </c>
      <c r="G19" s="152">
        <f t="shared" si="32"/>
        <v>1</v>
      </c>
      <c r="H19" s="152">
        <f t="shared" si="32"/>
        <v>1</v>
      </c>
      <c r="I19" s="152">
        <f t="shared" si="32"/>
        <v>1</v>
      </c>
      <c r="J19" s="152">
        <f t="shared" si="32"/>
        <v>1</v>
      </c>
      <c r="K19" s="152">
        <f t="shared" si="32"/>
        <v>1</v>
      </c>
      <c r="L19" s="152">
        <f t="shared" si="32"/>
        <v>1</v>
      </c>
      <c r="M19" s="152">
        <f t="shared" si="32"/>
        <v>1</v>
      </c>
      <c r="N19" s="152">
        <f t="shared" si="32"/>
        <v>1</v>
      </c>
      <c r="O19" s="152">
        <f t="shared" si="32"/>
        <v>1</v>
      </c>
      <c r="P19" s="152">
        <f t="shared" si="32"/>
        <v>1</v>
      </c>
      <c r="Q19" s="152">
        <f t="shared" si="32"/>
        <v>1</v>
      </c>
      <c r="R19" s="152">
        <f t="shared" si="32"/>
        <v>1</v>
      </c>
      <c r="S19" s="152">
        <f t="shared" si="32"/>
        <v>1</v>
      </c>
    </row>
    <row r="20" spans="3:33" ht="15" customHeight="1" x14ac:dyDescent="0.5">
      <c r="C20" s="14" t="str">
        <f t="shared" si="27"/>
        <v>Game Token Transactions</v>
      </c>
      <c r="D20" s="68"/>
      <c r="E20" s="51">
        <v>1</v>
      </c>
      <c r="F20" s="152">
        <f t="shared" ref="F20:S20" si="33">E20</f>
        <v>1</v>
      </c>
      <c r="G20" s="152">
        <f t="shared" si="33"/>
        <v>1</v>
      </c>
      <c r="H20" s="152">
        <f t="shared" si="33"/>
        <v>1</v>
      </c>
      <c r="I20" s="152">
        <f t="shared" si="33"/>
        <v>1</v>
      </c>
      <c r="J20" s="152">
        <f t="shared" si="33"/>
        <v>1</v>
      </c>
      <c r="K20" s="152">
        <f t="shared" si="33"/>
        <v>1</v>
      </c>
      <c r="L20" s="152">
        <f t="shared" si="33"/>
        <v>1</v>
      </c>
      <c r="M20" s="152">
        <f t="shared" si="33"/>
        <v>1</v>
      </c>
      <c r="N20" s="152">
        <f t="shared" si="33"/>
        <v>1</v>
      </c>
      <c r="O20" s="152">
        <f t="shared" si="33"/>
        <v>1</v>
      </c>
      <c r="P20" s="152">
        <f t="shared" si="33"/>
        <v>1</v>
      </c>
      <c r="Q20" s="152">
        <f t="shared" si="33"/>
        <v>1</v>
      </c>
      <c r="R20" s="152">
        <f t="shared" si="33"/>
        <v>1</v>
      </c>
      <c r="S20" s="152">
        <f t="shared" si="33"/>
        <v>1</v>
      </c>
    </row>
    <row r="21" spans="3:33" ht="15" customHeight="1" x14ac:dyDescent="0.5">
      <c r="C21" s="14" t="s">
        <v>81</v>
      </c>
      <c r="D21" s="68"/>
      <c r="E21" s="51">
        <v>1</v>
      </c>
      <c r="F21" s="152">
        <f t="shared" ref="F21:S21" si="34">E21</f>
        <v>1</v>
      </c>
      <c r="G21" s="152">
        <f t="shared" si="34"/>
        <v>1</v>
      </c>
      <c r="H21" s="152">
        <f t="shared" si="34"/>
        <v>1</v>
      </c>
      <c r="I21" s="152">
        <f t="shared" si="34"/>
        <v>1</v>
      </c>
      <c r="J21" s="152">
        <f t="shared" si="34"/>
        <v>1</v>
      </c>
      <c r="K21" s="152">
        <f t="shared" si="34"/>
        <v>1</v>
      </c>
      <c r="L21" s="152">
        <f t="shared" si="34"/>
        <v>1</v>
      </c>
      <c r="M21" s="152">
        <f t="shared" si="34"/>
        <v>1</v>
      </c>
      <c r="N21" s="152">
        <f t="shared" si="34"/>
        <v>1</v>
      </c>
      <c r="O21" s="152">
        <f t="shared" si="34"/>
        <v>1</v>
      </c>
      <c r="P21" s="152">
        <f t="shared" si="34"/>
        <v>1</v>
      </c>
      <c r="Q21" s="152">
        <f t="shared" si="34"/>
        <v>1</v>
      </c>
      <c r="R21" s="152">
        <f t="shared" si="34"/>
        <v>1</v>
      </c>
      <c r="S21" s="152">
        <f t="shared" si="34"/>
        <v>1</v>
      </c>
    </row>
    <row r="22" spans="3:33" ht="15.75" customHeight="1" x14ac:dyDescent="0.5"/>
    <row r="23" spans="3:33" ht="15" customHeight="1" x14ac:dyDescent="0.5">
      <c r="C23" s="111" t="s">
        <v>72</v>
      </c>
      <c r="D23" s="113" t="s">
        <v>73</v>
      </c>
      <c r="E23" s="113">
        <f t="shared" ref="E23:F23" si="35">F23-1</f>
        <v>2017</v>
      </c>
      <c r="F23" s="113">
        <f t="shared" si="35"/>
        <v>2018</v>
      </c>
      <c r="G23" s="113">
        <f>H23-1</f>
        <v>2019</v>
      </c>
      <c r="H23" s="113">
        <f>I23-1</f>
        <v>2020</v>
      </c>
      <c r="I23" s="113">
        <v>2021</v>
      </c>
      <c r="J23" s="113">
        <f>I23+1</f>
        <v>2022</v>
      </c>
      <c r="K23" s="113">
        <f t="shared" ref="K23" si="36">J23+1</f>
        <v>2023</v>
      </c>
      <c r="L23" s="113">
        <f t="shared" ref="L23" si="37">K23+1</f>
        <v>2024</v>
      </c>
      <c r="M23" s="113">
        <f t="shared" ref="M23" si="38">L23+1</f>
        <v>2025</v>
      </c>
      <c r="N23" s="113">
        <f t="shared" ref="N23" si="39">M23+1</f>
        <v>2026</v>
      </c>
      <c r="O23" s="113">
        <f t="shared" ref="O23" si="40">N23+1</f>
        <v>2027</v>
      </c>
      <c r="P23" s="113">
        <f t="shared" ref="P23" si="41">O23+1</f>
        <v>2028</v>
      </c>
      <c r="Q23" s="113">
        <f t="shared" ref="Q23" si="42">P23+1</f>
        <v>2029</v>
      </c>
      <c r="R23" s="113">
        <f t="shared" ref="R23:S23" si="43">Q23+1</f>
        <v>2030</v>
      </c>
      <c r="S23" s="113">
        <f t="shared" si="43"/>
        <v>2031</v>
      </c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</row>
    <row r="24" spans="3:33" ht="15" customHeight="1" x14ac:dyDescent="0.5">
      <c r="C24" s="107" t="s">
        <v>74</v>
      </c>
      <c r="D24" s="110">
        <v>0.1</v>
      </c>
      <c r="E24" s="114">
        <v>300</v>
      </c>
      <c r="F24" s="65">
        <f t="shared" ref="F24:F31" si="44">E24*(1+$D24)</f>
        <v>330</v>
      </c>
      <c r="G24" s="65">
        <f t="shared" ref="G24:S30" si="45">F24*(1+$D24)</f>
        <v>363.00000000000006</v>
      </c>
      <c r="H24" s="65">
        <f t="shared" si="45"/>
        <v>399.30000000000007</v>
      </c>
      <c r="I24" s="65">
        <f t="shared" si="45"/>
        <v>439.23000000000013</v>
      </c>
      <c r="J24" s="65">
        <f t="shared" si="45"/>
        <v>483.15300000000019</v>
      </c>
      <c r="K24" s="65">
        <f t="shared" si="45"/>
        <v>531.46830000000023</v>
      </c>
      <c r="L24" s="65">
        <f t="shared" si="45"/>
        <v>584.61513000000025</v>
      </c>
      <c r="M24" s="65">
        <f t="shared" si="45"/>
        <v>643.07664300000033</v>
      </c>
      <c r="N24" s="65">
        <f t="shared" si="45"/>
        <v>707.38430730000039</v>
      </c>
      <c r="O24" s="65">
        <f t="shared" si="45"/>
        <v>778.12273803000051</v>
      </c>
      <c r="P24" s="65">
        <f t="shared" si="45"/>
        <v>855.93501183300066</v>
      </c>
      <c r="Q24" s="65">
        <f t="shared" si="45"/>
        <v>941.52851301630085</v>
      </c>
      <c r="R24" s="65">
        <f t="shared" si="45"/>
        <v>1035.681364317931</v>
      </c>
      <c r="S24" s="65">
        <f t="shared" si="45"/>
        <v>1139.2495007497241</v>
      </c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3:33" ht="15" customHeight="1" x14ac:dyDescent="0.5">
      <c r="C25" s="14" t="s">
        <v>75</v>
      </c>
      <c r="D25" s="51">
        <v>0.08</v>
      </c>
      <c r="E25" s="71">
        <v>60</v>
      </c>
      <c r="F25" s="9">
        <f t="shared" si="44"/>
        <v>64.800000000000011</v>
      </c>
      <c r="G25" s="9">
        <f t="shared" si="45"/>
        <v>69.984000000000023</v>
      </c>
      <c r="H25" s="9">
        <f t="shared" si="45"/>
        <v>75.582720000000023</v>
      </c>
      <c r="I25" s="9">
        <f t="shared" si="45"/>
        <v>81.629337600000028</v>
      </c>
      <c r="J25" s="9">
        <f t="shared" si="45"/>
        <v>88.159684608000035</v>
      </c>
      <c r="K25" s="9">
        <f t="shared" si="45"/>
        <v>95.212459376640041</v>
      </c>
      <c r="L25" s="9">
        <f t="shared" si="45"/>
        <v>102.82945612677125</v>
      </c>
      <c r="M25" s="9">
        <f t="shared" si="45"/>
        <v>111.05581261691296</v>
      </c>
      <c r="N25" s="9">
        <f t="shared" si="45"/>
        <v>119.94027762626601</v>
      </c>
      <c r="O25" s="9">
        <f t="shared" si="45"/>
        <v>129.53549983636731</v>
      </c>
      <c r="P25" s="9">
        <f t="shared" si="45"/>
        <v>139.8983398232767</v>
      </c>
      <c r="Q25" s="9">
        <f t="shared" si="45"/>
        <v>151.09020700913885</v>
      </c>
      <c r="R25" s="9">
        <f t="shared" si="45"/>
        <v>163.17742356986997</v>
      </c>
      <c r="S25" s="9">
        <f t="shared" si="45"/>
        <v>176.23161745545957</v>
      </c>
    </row>
    <row r="26" spans="3:33" ht="15" customHeight="1" x14ac:dyDescent="0.5">
      <c r="C26" s="14" t="s">
        <v>76</v>
      </c>
      <c r="D26" s="51">
        <v>0.13</v>
      </c>
      <c r="E26" s="71">
        <v>315</v>
      </c>
      <c r="F26" s="9">
        <f t="shared" si="44"/>
        <v>355.95</v>
      </c>
      <c r="G26" s="9">
        <f t="shared" si="45"/>
        <v>402.22349999999994</v>
      </c>
      <c r="H26" s="9">
        <f t="shared" si="45"/>
        <v>454.51255499999991</v>
      </c>
      <c r="I26" s="9">
        <f t="shared" si="45"/>
        <v>513.59918714999981</v>
      </c>
      <c r="J26" s="9">
        <f t="shared" si="45"/>
        <v>580.36708147949969</v>
      </c>
      <c r="K26" s="9">
        <f t="shared" si="45"/>
        <v>655.81480207183461</v>
      </c>
      <c r="L26" s="9">
        <f t="shared" si="45"/>
        <v>741.07072634117299</v>
      </c>
      <c r="M26" s="9">
        <f t="shared" si="45"/>
        <v>837.40992076552538</v>
      </c>
      <c r="N26" s="9">
        <f t="shared" si="45"/>
        <v>946.27321046504358</v>
      </c>
      <c r="O26" s="9">
        <f t="shared" si="45"/>
        <v>1069.2887278254991</v>
      </c>
      <c r="P26" s="9">
        <f t="shared" si="45"/>
        <v>1208.2962624428139</v>
      </c>
      <c r="Q26" s="9">
        <f t="shared" si="45"/>
        <v>1365.3747765603796</v>
      </c>
      <c r="R26" s="9">
        <f t="shared" si="45"/>
        <v>1542.8734975132288</v>
      </c>
      <c r="S26" s="9">
        <f t="shared" si="45"/>
        <v>1743.4470521899484</v>
      </c>
    </row>
    <row r="27" spans="3:33" ht="15" customHeight="1" x14ac:dyDescent="0.5">
      <c r="C27" s="14" t="s">
        <v>77</v>
      </c>
      <c r="D27" s="51">
        <v>0.1</v>
      </c>
      <c r="E27" s="71">
        <v>205</v>
      </c>
      <c r="F27" s="9">
        <f t="shared" si="44"/>
        <v>225.50000000000003</v>
      </c>
      <c r="G27" s="9">
        <f t="shared" si="45"/>
        <v>248.05000000000004</v>
      </c>
      <c r="H27" s="9">
        <f t="shared" si="45"/>
        <v>272.85500000000008</v>
      </c>
      <c r="I27" s="9">
        <f t="shared" si="45"/>
        <v>300.14050000000009</v>
      </c>
      <c r="J27" s="9">
        <f t="shared" si="45"/>
        <v>330.15455000000014</v>
      </c>
      <c r="K27" s="9">
        <f t="shared" si="45"/>
        <v>363.17000500000017</v>
      </c>
      <c r="L27" s="9">
        <f t="shared" si="45"/>
        <v>399.48700550000024</v>
      </c>
      <c r="M27" s="9">
        <f t="shared" si="45"/>
        <v>439.43570605000031</v>
      </c>
      <c r="N27" s="9">
        <f t="shared" si="45"/>
        <v>483.37927665500035</v>
      </c>
      <c r="O27" s="9">
        <f t="shared" si="45"/>
        <v>531.7172043205004</v>
      </c>
      <c r="P27" s="9">
        <f t="shared" si="45"/>
        <v>584.88892475255045</v>
      </c>
      <c r="Q27" s="9">
        <f t="shared" si="45"/>
        <v>643.37781722780551</v>
      </c>
      <c r="R27" s="9">
        <f t="shared" si="45"/>
        <v>707.71559895058613</v>
      </c>
      <c r="S27" s="9">
        <f t="shared" si="45"/>
        <v>778.48715884564479</v>
      </c>
    </row>
    <row r="28" spans="3:33" ht="15" customHeight="1" x14ac:dyDescent="0.5">
      <c r="C28" s="14" t="s">
        <v>78</v>
      </c>
      <c r="D28" s="51">
        <v>0.19</v>
      </c>
      <c r="E28" s="71">
        <v>60</v>
      </c>
      <c r="F28" s="9">
        <f t="shared" si="44"/>
        <v>71.399999999999991</v>
      </c>
      <c r="G28" s="9">
        <f t="shared" si="45"/>
        <v>84.96599999999998</v>
      </c>
      <c r="H28" s="9">
        <f t="shared" si="45"/>
        <v>101.10953999999997</v>
      </c>
      <c r="I28" s="9">
        <f t="shared" si="45"/>
        <v>120.32035259999995</v>
      </c>
      <c r="J28" s="9">
        <f t="shared" si="45"/>
        <v>143.18121959399994</v>
      </c>
      <c r="K28" s="9">
        <f t="shared" si="45"/>
        <v>170.38565131685993</v>
      </c>
      <c r="L28" s="9">
        <f t="shared" si="45"/>
        <v>202.7589250670633</v>
      </c>
      <c r="M28" s="9">
        <f t="shared" si="45"/>
        <v>241.28312082980531</v>
      </c>
      <c r="N28" s="9">
        <f t="shared" si="45"/>
        <v>287.12691378746831</v>
      </c>
      <c r="O28" s="9">
        <f t="shared" si="45"/>
        <v>341.6810274070873</v>
      </c>
      <c r="P28" s="9">
        <f t="shared" si="45"/>
        <v>406.60042261443385</v>
      </c>
      <c r="Q28" s="9">
        <f t="shared" si="45"/>
        <v>483.85450291117627</v>
      </c>
      <c r="R28" s="9">
        <f t="shared" si="45"/>
        <v>575.78685846429971</v>
      </c>
      <c r="S28" s="9">
        <f t="shared" si="45"/>
        <v>685.1863615725166</v>
      </c>
    </row>
    <row r="29" spans="3:33" ht="15" customHeight="1" x14ac:dyDescent="0.5">
      <c r="C29" s="14" t="s">
        <v>79</v>
      </c>
      <c r="D29" s="51">
        <v>7.0000000000000007E-2</v>
      </c>
      <c r="E29" s="71">
        <v>5440</v>
      </c>
      <c r="F29" s="9">
        <f t="shared" si="44"/>
        <v>5820.8</v>
      </c>
      <c r="G29" s="9">
        <f t="shared" si="45"/>
        <v>6228.2560000000003</v>
      </c>
      <c r="H29" s="9">
        <f t="shared" si="45"/>
        <v>6664.2339200000006</v>
      </c>
      <c r="I29" s="9">
        <f t="shared" si="45"/>
        <v>7130.7302944000012</v>
      </c>
      <c r="J29" s="9">
        <f t="shared" si="45"/>
        <v>7629.8814150080016</v>
      </c>
      <c r="K29" s="9">
        <f t="shared" si="45"/>
        <v>8163.9731140585618</v>
      </c>
      <c r="L29" s="9">
        <f t="shared" si="45"/>
        <v>8735.451232042662</v>
      </c>
      <c r="M29" s="9">
        <f t="shared" si="45"/>
        <v>9346.9328182856498</v>
      </c>
      <c r="N29" s="9">
        <f t="shared" si="45"/>
        <v>10001.218115565645</v>
      </c>
      <c r="O29" s="9">
        <f t="shared" si="45"/>
        <v>10701.30338365524</v>
      </c>
      <c r="P29" s="9">
        <f t="shared" si="45"/>
        <v>11450.394620511108</v>
      </c>
      <c r="Q29" s="9">
        <f t="shared" si="45"/>
        <v>12251.922243946887</v>
      </c>
      <c r="R29" s="9">
        <f t="shared" si="45"/>
        <v>13109.556801023169</v>
      </c>
      <c r="S29" s="9">
        <f t="shared" si="45"/>
        <v>14027.225777094793</v>
      </c>
    </row>
    <row r="30" spans="3:33" ht="15" customHeight="1" x14ac:dyDescent="0.5">
      <c r="C30" s="14" t="s">
        <v>80</v>
      </c>
      <c r="D30" s="51">
        <v>0.08</v>
      </c>
      <c r="E30" s="71">
        <v>50</v>
      </c>
      <c r="F30" s="9">
        <f t="shared" si="44"/>
        <v>54</v>
      </c>
      <c r="G30" s="9">
        <f t="shared" si="45"/>
        <v>58.320000000000007</v>
      </c>
      <c r="H30" s="9">
        <f t="shared" si="45"/>
        <v>62.985600000000012</v>
      </c>
      <c r="I30" s="9">
        <f t="shared" si="45"/>
        <v>68.024448000000021</v>
      </c>
      <c r="J30" s="9">
        <f t="shared" si="45"/>
        <v>73.466403840000027</v>
      </c>
      <c r="K30" s="9">
        <f t="shared" si="45"/>
        <v>79.343716147200027</v>
      </c>
      <c r="L30" s="9">
        <f t="shared" si="45"/>
        <v>85.691213438976035</v>
      </c>
      <c r="M30" s="9">
        <f t="shared" si="45"/>
        <v>92.546510514094123</v>
      </c>
      <c r="N30" s="9">
        <f t="shared" si="45"/>
        <v>99.950231355221661</v>
      </c>
      <c r="O30" s="9">
        <f t="shared" si="45"/>
        <v>107.94624986363939</v>
      </c>
      <c r="P30" s="9">
        <f t="shared" si="45"/>
        <v>116.58194985273056</v>
      </c>
      <c r="Q30" s="9">
        <f t="shared" si="45"/>
        <v>125.90850584094902</v>
      </c>
      <c r="R30" s="9">
        <f t="shared" si="45"/>
        <v>135.98118630822495</v>
      </c>
      <c r="S30" s="9">
        <f t="shared" si="45"/>
        <v>146.85968121288295</v>
      </c>
    </row>
    <row r="31" spans="3:33" ht="15" customHeight="1" x14ac:dyDescent="0.5">
      <c r="C31" s="14" t="s">
        <v>81</v>
      </c>
      <c r="D31" s="51">
        <f>613/573-1</f>
        <v>6.9808027923211169E-2</v>
      </c>
      <c r="E31" s="71">
        <v>610</v>
      </c>
      <c r="F31" s="9">
        <f t="shared" si="44"/>
        <v>652.58289703315882</v>
      </c>
      <c r="G31" s="9">
        <f t="shared" ref="G31:S31" si="46">F31*(1+$D31)</f>
        <v>698.13842213145961</v>
      </c>
      <c r="H31" s="9">
        <f t="shared" si="46"/>
        <v>746.87408859787911</v>
      </c>
      <c r="I31" s="9">
        <f t="shared" si="46"/>
        <v>799.01189582984273</v>
      </c>
      <c r="J31" s="9">
        <f t="shared" si="46"/>
        <v>854.78934056491028</v>
      </c>
      <c r="K31" s="9">
        <f t="shared" si="46"/>
        <v>914.4604987195288</v>
      </c>
      <c r="L31" s="9">
        <f t="shared" si="46"/>
        <v>978.29718274881532</v>
      </c>
      <c r="M31" s="9">
        <f t="shared" si="46"/>
        <v>1046.5901797993433</v>
      </c>
      <c r="N31" s="9">
        <f t="shared" si="46"/>
        <v>1119.6505762949346</v>
      </c>
      <c r="O31" s="9">
        <f t="shared" si="46"/>
        <v>1197.8111749891709</v>
      </c>
      <c r="P31" s="9">
        <f t="shared" si="46"/>
        <v>1281.4280109395493</v>
      </c>
      <c r="Q31" s="9">
        <f t="shared" si="46"/>
        <v>1370.8819733088023</v>
      </c>
      <c r="R31" s="9">
        <f t="shared" si="46"/>
        <v>1466.58054038097</v>
      </c>
      <c r="S31" s="9">
        <f t="shared" si="46"/>
        <v>1568.9596356955228</v>
      </c>
    </row>
    <row r="32" spans="3:33" ht="5" customHeight="1" x14ac:dyDescent="0.5"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</sheetData>
  <pageMargins left="0.7" right="0.7" top="0.75" bottom="0.75" header="0.3" footer="0.3"/>
  <pageSetup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Model</vt:lpstr>
      <vt:lpstr>TAM Assumptions</vt:lpstr>
      <vt:lpstr>Model!Print_Area</vt:lpstr>
      <vt:lpstr>'TAM Assumptions'!Print_Area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Zochowski</dc:creator>
  <cp:keywords/>
  <dc:description/>
  <cp:lastModifiedBy>Joe Alie</cp:lastModifiedBy>
  <cp:revision/>
  <dcterms:created xsi:type="dcterms:W3CDTF">2018-01-27T22:54:42Z</dcterms:created>
  <dcterms:modified xsi:type="dcterms:W3CDTF">2018-11-04T16:01:48Z</dcterms:modified>
  <cp:category/>
  <cp:contentStatus/>
</cp:coreProperties>
</file>