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4\workbook\"/>
    </mc:Choice>
  </mc:AlternateContent>
  <xr:revisionPtr revIDLastSave="0" documentId="13_ncr:1_{1DB0D6A9-DA4F-456A-A228-6738B046D11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0" l="1"/>
  <c r="G19" i="10"/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C29" i="10" l="1"/>
  <c r="B30" i="10" s="1"/>
  <c r="C30" i="10" s="1"/>
  <c r="H31" i="10" l="1"/>
  <c r="H30" i="10"/>
  <c r="H33" i="10"/>
  <c r="H32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H34" i="10" l="1"/>
  <c r="F10" i="10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0" i="10" l="1"/>
  <c r="F5" i="10"/>
  <c r="F15" i="10"/>
  <c r="D8" i="10"/>
  <c r="F14" i="10"/>
  <c r="Z3" i="1"/>
  <c r="D7" i="10"/>
  <c r="F11" i="10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G25" i="10" s="1"/>
  <c r="F9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E17" i="10"/>
  <c r="E11" i="10"/>
  <c r="E23" i="10"/>
  <c r="F7" i="10"/>
  <c r="G6" i="10"/>
  <c r="H6" i="10" s="1"/>
  <c r="F8" i="10"/>
  <c r="C8" i="10" s="1"/>
  <c r="G16" i="10"/>
  <c r="H16" i="10" s="1"/>
  <c r="F23" i="10"/>
  <c r="G10" i="10"/>
  <c r="H10" i="10" s="1"/>
  <c r="G7" i="10"/>
  <c r="H7" i="10" s="1"/>
  <c r="G9" i="10"/>
  <c r="H9" i="10" s="1"/>
  <c r="G5" i="10"/>
  <c r="H5" i="10" s="1"/>
  <c r="D5" i="10"/>
  <c r="E5" i="10"/>
  <c r="C32" i="10" l="1"/>
  <c r="H12" i="10"/>
  <c r="G24" i="10"/>
  <c r="H24" i="10"/>
  <c r="F26" i="10"/>
  <c r="B5" i="15"/>
  <c r="G23" i="10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D19" i="10"/>
  <c r="C5" i="15" l="1"/>
  <c r="B8" i="15"/>
  <c r="C31" i="10"/>
  <c r="C19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<sst xmlns="http://schemas.openxmlformats.org/spreadsheetml/2006/main" count="12806" uniqueCount="2160">
  <si>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</si>
  <si>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</si>
  <si>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</si>
  <si>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</si>
  <si>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</si>
  <si>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</si>
  <si>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</si>
  <si>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</si>
  <si>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</si>
  <si>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</si>
  <si>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</si>
  <si>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</si>
  <si>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</si>
  <si>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</si>
  <si>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</si>
  <si>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</si>
  <si>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</si>
  <si>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</si>
  <si>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</si>
  <si>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</si>
  <si>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</si>
  <si>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</si>
  <si>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</si>
  <si>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</si>
  <si>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</si>
  <si>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</si>
  <si>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</si>
  <si>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</si>
  <si>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</si>
  <si>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</si>
  <si>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</si>
  <si>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</si>
  <si>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</si>
  <si>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</si>
  <si>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</si>
  <si>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</si>
  <si>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</si>
  <si>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</si>
  <si>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</si>
  <si>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</si>
  <si>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</si>
  <si>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</si>
  <si>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</si>
  <si>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</si>
  <si>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</si>
  <si>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</si>
  <si>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</si>
  <si>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</si>
  <si>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</si>
  <si>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</si>
  <si>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</si>
  <si>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</si>
  <si>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</si>
  <si>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</si>
  <si>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</si>
  <si>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</si>
  <si>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</si>
  <si>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</si>
  <si>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</si>
  <si>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</si>
  <si>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</si>
  <si>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</si>
  <si>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</si>
  <si>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</si>
  <si>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</si>
  <si>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</si>
  <si>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</si>
  <si>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</si>
  <si>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</si>
  <si>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</si>
  <si>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</si>
  <si>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</si>
  <si>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</si>
  <si>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</si>
  <si>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</si>
  <si>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</si>
  <si>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</si>
  <si>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</si>
  <si>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</si>
  <si>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</si>
  <si>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</si>
  <si>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</si>
  <si>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</si>
  <si>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</si>
  <si>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</si>
  <si>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</si>
  <si>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</si>
  <si>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</si>
  <si>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</si>
  <si>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</si>
  <si>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</si>
  <si>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</si>
  <si>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</si>
  <si>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</si>
  <si>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</si>
  <si>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</si>
  <si>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</si>
  <si>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</si>
  <si>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</si>
  <si>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</si>
  <si>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</si>
  <si>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</si>
  <si>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</si>
  <si>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</si>
  <si>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</si>
  <si>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</si>
  <si>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</si>
  <si>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</si>
  <si>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</si>
  <si>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</si>
  <si>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</si>
  <si>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</si>
  <si>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</si>
  <si>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</si>
  <si>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</si>
  <si>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</si>
  <si>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</si>
  <si>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</si>
  <si>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</si>
  <si>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</si>
  <si>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</si>
  <si>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</si>
  <si>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</si>
  <si>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</si>
  <si>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</si>
  <si>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</si>
  <si>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</si>
  <si>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</si>
  <si>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</si>
  <si>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</si>
  <si>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</si>
  <si>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</si>
  <si>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</si>
  <si>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</si>
  <si>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</si>
  <si>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</si>
  <si>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</si>
  <si>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</si>
  <si>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</si>
  <si>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</si>
  <si>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</si>
  <si>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</si>
  <si>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</si>
  <si>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</si>
  <si>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</si>
  <si>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</si>
  <si>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</si>
  <si>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</si>
  <si>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</si>
  <si>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</si>
  <si>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</si>
  <si>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</si>
  <si>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</si>
  <si>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</si>
  <si>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</si>
  <si>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</si>
  <si>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</si>
  <si>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</si>
  <si>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</si>
  <si>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</si>
  <si>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</si>
  <si>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</si>
  <si>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</si>
  <si>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</si>
  <si>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</si>
  <si>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</si>
  <si>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</si>
  <si>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</si>
  <si>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</si>
  <si>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</si>
  <si>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</si>
  <si>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</si>
  <si>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</si>
  <si>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</si>
  <si>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</si>
  <si>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</si>
  <si>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</si>
  <si>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</si>
  <si>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</si>
  <si>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</si>
  <si>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</si>
  <si>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</si>
  <si>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</si>
  <si>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</si>
  <si>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</si>
  <si>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</si>
  <si>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</si>
  <si>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</si>
  <si>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</si>
  <si>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</si>
  <si>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</si>
  <si>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</si>
  <si>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</si>
  <si>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</si>
  <si>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</si>
  <si>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</si>
  <si>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</si>
  <si>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</si>
  <si>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</si>
  <si>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</si>
  <si>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</si>
  <si>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</si>
  <si>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</si>
  <si>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</si>
  <si>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</si>
  <si>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</si>
  <si>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</si>
  <si>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</si>
  <si>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</si>
  <si>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</si>
  <si>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</si>
  <si>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</si>
  <si>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</si>
  <si>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</si>
  <si>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</si>
  <si>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</si>
  <si>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</si>
  <si>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</si>
  <si>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</si>
  <si>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</si>
  <si>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</si>
  <si>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</si>
  <si>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</si>
  <si>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</si>
  <si>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</si>
  <si>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</si>
  <si>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</si>
  <si>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</si>
  <si>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</si>
  <si>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</si>
  <si>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</si>
  <si>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</si>
  <si>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</si>
  <si>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</si>
  <si>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</si>
  <si>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</si>
  <si>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</si>
  <si>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</si>
  <si>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</si>
  <si>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</si>
  <si>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</si>
  <si>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</si>
  <si>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</si>
  <si>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</si>
  <si>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</si>
  <si>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</si>
  <si>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</si>
  <si>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</si>
  <si>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</si>
  <si>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</si>
  <si>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</si>
  <si>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</si>
  <si>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</si>
  <si>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</si>
  <si>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</si>
  <si>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</si>
  <si>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</si>
  <si>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</si>
  <si>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</si>
  <si>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</si>
  <si>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</si>
  <si>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</si>
  <si>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</si>
  <si>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</si>
  <si>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</si>
  <si>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</si>
  <si>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</si>
  <si>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</si>
  <si>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</si>
  <si>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</si>
  <si>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</si>
  <si>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</si>
  <si>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</si>
  <si>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</si>
  <si>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</si>
  <si>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</si>
  <si>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</si>
  <si>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</si>
  <si>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</si>
  <si>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</si>
  <si>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</si>
  <si>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</si>
  <si>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</si>
  <si>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</si>
  <si>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</si>
  <si>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</si>
  <si>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</si>
  <si>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</si>
  <si>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</si>
  <si>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</si>
  <si>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</si>
  <si>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</si>
  <si>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</si>
  <si>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</si>
  <si>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</si>
  <si>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</si>
  <si>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</si>
  <si>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</si>
  <si>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</si>
  <si>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</si>
  <si>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</si>
  <si>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</si>
  <si>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</si>
  <si>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</si>
  <si>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</si>
  <si>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</si>
  <si>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</si>
  <si>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</si>
  <si>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</si>
  <si>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</si>
  <si>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</si>
  <si>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</si>
  <si>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</si>
  <si>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</si>
  <si>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</si>
  <si>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</si>
  <si>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</si>
  <si>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</si>
  <si>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</si>
  <si>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</si>
  <si>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</si>
  <si>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</si>
  <si>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</si>
  <si>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</si>
  <si>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</si>
  <si>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</si>
  <si>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</si>
  <si>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</si>
  <si>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</si>
  <si>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</si>
  <si>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</si>
  <si>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</si>
  <si>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</si>
  <si>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</si>
  <si>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</si>
  <si>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</si>
  <si>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</si>
  <si>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</si>
  <si>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</si>
  <si>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</si>
  <si>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</si>
  <si>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</si>
  <si>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</si>
  <si>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</si>
  <si>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</si>
  <si>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</si>
  <si>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</si>
  <si>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</si>
  <si>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</si>
  <si>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</si>
  <si>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</si>
  <si>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</si>
  <si>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</si>
  <si>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</si>
  <si>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</si>
  <si>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</si>
  <si>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</si>
  <si>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</si>
  <si>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</si>
  <si>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</si>
  <si>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</si>
  <si>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</si>
  <si>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</si>
  <si>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</si>
  <si>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</si>
  <si>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</si>
  <si>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</si>
  <si>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</si>
  <si>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</si>
  <si>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</si>
  <si>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</si>
  <si>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</si>
  <si>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</si>
  <si>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</si>
  <si>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</si>
  <si>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</si>
  <si>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</si>
  <si>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</si>
  <si>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</si>
  <si>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</si>
  <si>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</si>
  <si>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</si>
  <si>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</si>
  <si>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</si>
  <si>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</si>
  <si>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</si>
  <si>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</si>
  <si>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</si>
  <si>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</si>
  <si>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</si>
  <si>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</si>
  <si>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</si>
  <si>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</si>
  <si>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</si>
  <si>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</si>
  <si>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</si>
  <si>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</si>
  <si>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</si>
  <si>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</si>
  <si>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</si>
  <si>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</si>
  <si>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</si>
  <si>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</si>
  <si>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</si>
  <si>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</si>
  <si>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</si>
  <si>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</si>
  <si>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</si>
  <si>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</si>
  <si>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</si>
  <si>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</si>
  <si>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</si>
  <si>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</si>
  <si>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</si>
  <si>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</si>
  <si>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</si>
  <si>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</si>
  <si>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</si>
  <si>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</si>
  <si>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</si>
  <si>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</si>
  <si>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</si>
  <si>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</si>
  <si>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</si>
  <si>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</si>
  <si>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</si>
  <si>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</si>
  <si>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</si>
  <si>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</si>
  <si>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</si>
  <si>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</si>
  <si>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</si>
  <si>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</si>
  <si>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</si>
  <si>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</si>
  <si>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</si>
  <si>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</si>
  <si>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</si>
  <si>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</si>
  <si>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</si>
  <si>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</si>
  <si>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</si>
  <si>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</si>
  <si>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</si>
  <si>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</si>
  <si>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</si>
  <si>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</si>
  <si>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</si>
  <si>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</si>
  <si>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</si>
  <si>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</si>
  <si>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</si>
  <si>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</si>
  <si>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</si>
  <si>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</si>
  <si>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</si>
  <si>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</si>
  <si>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</si>
  <si>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</si>
  <si>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</si>
  <si>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</si>
  <si>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</si>
  <si>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</si>
  <si>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</si>
  <si>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</si>
  <si>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</si>
  <si>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</si>
  <si>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</si>
  <si>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</si>
  <si>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</si>
  <si>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</si>
  <si>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</si>
  <si>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</si>
  <si>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</si>
  <si>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</si>
  <si>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</si>
  <si>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</si>
  <si>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</si>
  <si>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</si>
  <si>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</si>
  <si>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</si>
  <si>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</si>
  <si>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</si>
  <si>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</si>
  <si>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</si>
  <si>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</si>
  <si>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</si>
  <si>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</si>
  <si>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</si>
  <si>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</si>
  <si>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</si>
  <si>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</si>
  <si>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</si>
  <si>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</si>
  <si>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</si>
  <si>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</si>
  <si>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</si>
  <si>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</si>
  <si>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</si>
  <si>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</si>
  <si>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</si>
  <si>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</si>
  <si>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</si>
  <si>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</si>
  <si>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</si>
  <si>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</si>
  <si>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</si>
  <si>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</si>
  <si>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</si>
  <si>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</si>
  <si>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</si>
  <si>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</si>
  <si>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</si>
  <si>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</si>
  <si>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</si>
  <si>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</si>
  <si>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</si>
  <si>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</si>
  <si>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</si>
  <si>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</si>
  <si>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</si>
  <si>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</si>
  <si>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</si>
  <si>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</si>
  <si>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</si>
  <si>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</si>
  <si>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</si>
  <si>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</si>
  <si>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</si>
  <si>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</si>
  <si>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</si>
  <si>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</si>
  <si>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</si>
  <si>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</si>
  <si>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</si>
  <si>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</si>
  <si>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</si>
  <si>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</si>
  <si>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</si>
  <si>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</si>
  <si>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</si>
  <si>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</si>
  <si>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</si>
  <si>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</si>
  <si>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</si>
  <si>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</si>
  <si>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</si>
  <si>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</si>
  <si>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</si>
  <si>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</si>
  <si>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</si>
  <si>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</si>
  <si>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</si>
  <si>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</si>
  <si>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</si>
  <si>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</si>
  <si>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</si>
  <si>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</si>
  <si>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</si>
  <si>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</si>
  <si>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</si>
  <si>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</si>
  <si>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</si>
  <si>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</si>
  <si>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</si>
  <si>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</si>
  <si>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</si>
  <si>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</si>
  <si>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</si>
  <si>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</si>
  <si>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</si>
  <si>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</si>
  <si>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</si>
  <si>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</si>
  <si>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</si>
  <si>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</si>
  <si>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</si>
  <si>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</si>
  <si>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</si>
  <si>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</si>
  <si>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</si>
  <si>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</si>
  <si>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</si>
  <si>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</si>
  <si>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</si>
  <si>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</si>
  <si>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</si>
  <si>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</si>
  <si>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</si>
  <si>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</si>
  <si>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</si>
  <si>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</si>
  <si>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</si>
  <si>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</si>
  <si>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</si>
  <si>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</si>
  <si>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</si>
  <si>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</si>
  <si>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</si>
  <si>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</si>
  <si>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</si>
  <si>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</si>
  <si>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</si>
  <si>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</si>
  <si>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</si>
  <si>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</si>
  <si>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</si>
  <si>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</si>
  <si>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</si>
  <si>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</si>
  <si>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</si>
  <si>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</si>
  <si>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</si>
  <si>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</si>
  <si>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</si>
  <si>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</si>
  <si>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</si>
  <si>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</si>
  <si>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</si>
  <si>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</si>
  <si>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</si>
  <si>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</si>
  <si>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</si>
  <si>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</si>
  <si>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</si>
  <si>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</si>
  <si>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</si>
  <si>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</si>
  <si>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</si>
  <si>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</si>
  <si>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</si>
  <si>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</si>
  <si>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</si>
  <si>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</si>
  <si>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</si>
  <si>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</si>
  <si>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</si>
  <si>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</si>
  <si>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</si>
  <si>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</si>
  <si>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</si>
  <si>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</si>
  <si>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</si>
  <si>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</si>
  <si>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</si>
  <si>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</si>
  <si>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</si>
  <si>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</si>
  <si>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</si>
  <si>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</si>
  <si>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</si>
  <si>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</si>
  <si>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</si>
  <si>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</si>
  <si>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</si>
  <si>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</si>
  <si>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</si>
  <si>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</si>
  <si>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</si>
  <si>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</si>
  <si>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</si>
  <si>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</si>
  <si>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</si>
  <si>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</si>
  <si>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</si>
  <si>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</si>
  <si>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</si>
  <si>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</si>
  <si>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</si>
  <si>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</si>
  <si>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</si>
  <si>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</si>
  <si>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</si>
  <si>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</si>
  <si>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</si>
  <si>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</si>
  <si>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</si>
  <si>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</si>
  <si>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</si>
  <si>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</si>
  <si>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</si>
  <si>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</si>
  <si>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</si>
  <si>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</si>
  <si>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</si>
  <si>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</si>
  <si>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</si>
  <si>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</si>
  <si>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</si>
  <si>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</si>
  <si>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</si>
  <si>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</si>
  <si>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</si>
  <si>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</si>
  <si>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</si>
  <si>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</si>
  <si>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</si>
  <si>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</si>
  <si>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</si>
  <si>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</si>
  <si>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</si>
  <si>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</si>
  <si>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</si>
  <si>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</si>
  <si>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</si>
  <si>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</si>
  <si>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</si>
  <si>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</si>
  <si>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</si>
  <si>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</si>
  <si>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</si>
  <si>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</si>
  <si>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</si>
  <si>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</si>
  <si>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</si>
  <si>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</si>
  <si>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</si>
  <si>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</si>
  <si>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</si>
  <si>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</si>
  <si>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</si>
  <si>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</si>
  <si>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</si>
  <si>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</si>
  <si>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</si>
  <si>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</si>
  <si>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</si>
  <si>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</si>
  <si>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</si>
  <si>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</si>
  <si>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</si>
  <si>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</si>
  <si>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</si>
  <si>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</si>
  <si>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</si>
  <si>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</si>
  <si>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</si>
  <si>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</si>
  <si>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</si>
  <si>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</si>
  <si>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</si>
  <si>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</si>
  <si>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</si>
  <si>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</si>
  <si>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</si>
  <si>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</si>
  <si>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</si>
  <si>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</si>
  <si>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</si>
  <si>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</si>
  <si>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</si>
  <si>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</si>
  <si>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</si>
  <si>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</si>
  <si>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</si>
  <si>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</si>
  <si>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</si>
  <si>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</si>
  <si>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</si>
  <si>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</si>
  <si>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</si>
  <si>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</si>
  <si>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</si>
  <si>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</si>
  <si>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</si>
  <si>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</si>
  <si>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</si>
  <si>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</si>
  <si>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</si>
  <si>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</si>
  <si>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</si>
  <si>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</si>
  <si>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</si>
  <si>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</si>
  <si>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</si>
  <si>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</si>
  <si>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</si>
  <si>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</si>
  <si>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</si>
  <si>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</si>
  <si>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</si>
  <si>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</si>
  <si>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</si>
  <si>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</si>
  <si>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</si>
  <si>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</si>
  <si>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</si>
  <si>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</si>
  <si>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</si>
  <si>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</si>
  <si>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</si>
  <si>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</si>
  <si>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</si>
  <si>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</si>
  <si>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</si>
  <si>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</si>
  <si>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</si>
  <si>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</si>
  <si>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</si>
  <si>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</si>
  <si>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</si>
  <si>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</si>
  <si>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</si>
  <si>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</si>
  <si>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</si>
  <si>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</si>
  <si>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</si>
  <si>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</si>
  <si>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</si>
  <si>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</si>
  <si>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</si>
  <si>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</si>
  <si>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</si>
  <si>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</si>
  <si>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</si>
  <si>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</si>
  <si>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</si>
  <si>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</si>
  <si>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</si>
  <si>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</si>
  <si>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</si>
  <si>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</si>
  <si>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</si>
  <si>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</si>
  <si>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</si>
  <si>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</si>
  <si>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</si>
  <si>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</si>
  <si>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</si>
  <si>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</si>
  <si>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</si>
  <si>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</si>
  <si>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</si>
  <si>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</si>
  <si>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</si>
  <si>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</si>
  <si>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</si>
  <si>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</si>
  <si>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</si>
  <si>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</si>
  <si>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</si>
  <si>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</si>
  <si>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</si>
  <si>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</si>
  <si>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</si>
  <si>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</si>
  <si>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</si>
  <si>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</si>
  <si>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</si>
  <si>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</si>
  <si>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</si>
  <si>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</si>
  <si>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</si>
  <si>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</si>
  <si>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</si>
  <si>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</si>
  <si>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</si>
  <si>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</si>
  <si>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</si>
  <si>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</si>
  <si>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</si>
  <si>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</si>
  <si>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</si>
  <si>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</si>
  <si>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</si>
  <si>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</si>
  <si>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</si>
  <si>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</si>
  <si>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</si>
  <si>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</si>
  <si>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</si>
  <si>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</si>
  <si>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</si>
  <si>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</si>
  <si>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</si>
  <si>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</si>
  <si>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</si>
  <si>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</si>
  <si>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</si>
  <si>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</si>
  <si>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</si>
  <si>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</si>
  <si>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</si>
  <si>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</si>
  <si>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</si>
  <si>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</si>
  <si>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</si>
  <si>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</si>
  <si>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</si>
  <si>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</si>
  <si>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</si>
  <si>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</si>
  <si>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</si>
  <si>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</si>
  <si>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</si>
  <si>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</si>
  <si>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</si>
  <si>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</si>
  <si>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</si>
  <si>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</si>
  <si>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</si>
  <si>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</si>
  <si>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</si>
  <si>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</si>
  <si>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</si>
  <si>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</si>
  <si>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</si>
  <si>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</si>
  <si>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</si>
  <si>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</si>
  <si>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</si>
  <si>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</si>
  <si>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</si>
  <si>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</si>
  <si>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</si>
  <si>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</si>
  <si>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</si>
  <si>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</si>
  <si>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</si>
  <si>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</si>
  <si>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</si>
  <si>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</si>
  <si>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</si>
  <si>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</si>
  <si>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</si>
  <si>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</si>
  <si>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</si>
  <si>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</si>
  <si>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</si>
  <si>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</si>
  <si>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</si>
  <si>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</si>
  <si>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</si>
  <si>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</si>
  <si>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</si>
  <si>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</si>
  <si>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</si>
  <si>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</si>
  <si>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</si>
  <si>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</si>
  <si>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</si>
  <si>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</si>
  <si>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</si>
  <si>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</si>
  <si>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</si>
  <si>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</si>
  <si>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</si>
  <si>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</si>
  <si>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</si>
  <si>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</si>
  <si>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</si>
  <si>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</si>
  <si>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</si>
  <si>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</si>
  <si>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</si>
  <si>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</si>
  <si>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</si>
  <si>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</si>
  <si>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</si>
  <si>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</si>
  <si>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</si>
  <si>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</si>
  <si>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</si>
  <si>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</si>
  <si>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</si>
  <si>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</si>
  <si>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</si>
  <si>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</si>
  <si>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</si>
  <si>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</si>
  <si>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</si>
  <si>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</si>
  <si>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</si>
  <si>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</si>
  <si>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</si>
  <si>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</si>
  <si>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</si>
  <si>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</si>
  <si>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</si>
  <si>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</si>
  <si>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</si>
  <si>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</si>
  <si>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</si>
  <si>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</si>
  <si>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</si>
  <si>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</si>
  <si>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</si>
  <si>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</si>
  <si>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</si>
  <si>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</si>
  <si>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</si>
  <si>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</si>
  <si>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</si>
  <si>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</si>
  <si>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</si>
  <si>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</si>
  <si>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</si>
  <si>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</si>
  <si>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</si>
  <si>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</si>
  <si>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</si>
  <si>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</si>
  <si>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</si>
  <si>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</si>
  <si>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</si>
  <si>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</si>
  <si>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</si>
  <si>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</si>
  <si>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</si>
  <si>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</si>
  <si>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</si>
  <si>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</si>
  <si>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</si>
  <si>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</si>
  <si>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</si>
  <si>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</si>
  <si>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</si>
  <si>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</si>
  <si>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</si>
  <si>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</si>
  <si>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</si>
  <si>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</si>
  <si>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</si>
  <si>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</si>
  <si>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</si>
  <si>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</si>
  <si>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</si>
  <si>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</si>
  <si>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</si>
  <si>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</si>
  <si>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</si>
  <si>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</si>
  <si>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</si>
  <si>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</si>
  <si>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</si>
  <si>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</si>
  <si>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</si>
  <si>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</si>
  <si>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</si>
  <si>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</si>
  <si>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</si>
  <si>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</si>
  <si>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</si>
  <si>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</si>
  <si>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</si>
  <si>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</si>
  <si>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</si>
  <si>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</si>
  <si>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</si>
  <si>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</si>
  <si>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</si>
  <si>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</si>
  <si>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</si>
  <si>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</si>
  <si>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</si>
  <si>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</si>
  <si>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</si>
  <si>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</si>
  <si>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</si>
  <si>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</si>
  <si>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</si>
  <si>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</si>
  <si>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</si>
  <si>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</si>
  <si>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</si>
  <si>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</si>
  <si>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</si>
  <si>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</si>
  <si>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</si>
  <si>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</si>
  <si>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</si>
  <si>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</si>
  <si>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</si>
  <si>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</si>
  <si>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</si>
  <si>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</si>
  <si>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</si>
  <si>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</si>
  <si>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</si>
  <si>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</si>
  <si>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</si>
  <si>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</si>
  <si>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</si>
  <si>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</si>
  <si>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</si>
  <si>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</si>
  <si>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</si>
  <si>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</si>
  <si>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</si>
  <si>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</si>
  <si>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</si>
  <si>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</si>
  <si>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</si>
  <si>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</si>
  <si>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</si>
  <si>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</si>
  <si>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</si>
  <si>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</si>
  <si>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</si>
  <si>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</si>
  <si>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</si>
  <si>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</si>
  <si>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</si>
  <si>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</si>
  <si>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</si>
  <si>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</si>
  <si>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</si>
  <si>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</si>
  <si>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</si>
  <si>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</si>
  <si>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</si>
  <si>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</si>
  <si>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</si>
  <si>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</si>
  <si>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</si>
  <si>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</si>
  <si>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</si>
  <si>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</si>
  <si>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</si>
  <si>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</si>
  <si>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</si>
  <si>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</si>
  <si>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</si>
  <si>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</si>
  <si>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</si>
  <si>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</si>
  <si>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</si>
  <si>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</si>
  <si>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</si>
  <si>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</si>
  <si>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</si>
  <si>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</si>
  <si>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</si>
  <si>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</si>
  <si>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</si>
  <si>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</si>
  <si>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</si>
  <si>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</si>
  <si>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</si>
  <si>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</si>
  <si>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</si>
  <si>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</si>
  <si>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</si>
  <si>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</si>
  <si>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</si>
  <si>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</si>
  <si>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</si>
  <si>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</si>
  <si>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</si>
  <si>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</si>
  <si>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</si>
  <si>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</si>
  <si>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</si>
  <si>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</si>
  <si>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</si>
  <si>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</si>
  <si>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</si>
  <si>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</si>
  <si>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</si>
  <si>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</si>
  <si>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</si>
  <si>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</si>
  <si>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</si>
  <si>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</si>
  <si>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</si>
  <si>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</si>
  <si>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</si>
  <si>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</si>
  <si>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</si>
  <si>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</si>
  <si>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</si>
  <si>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</si>
  <si>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</si>
  <si>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</si>
  <si>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</si>
  <si>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</si>
  <si>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</si>
  <si>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</si>
  <si>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</si>
  <si>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</si>
  <si>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</si>
  <si>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</si>
  <si>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</si>
  <si>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</si>
  <si>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</si>
  <si>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</si>
  <si>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</si>
  <si>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</si>
  <si>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</si>
  <si>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</si>
  <si>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</si>
  <si>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</si>
  <si>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</si>
  <si>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</si>
  <si>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</si>
  <si>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</si>
  <si>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</si>
  <si>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</si>
  <si>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</si>
  <si>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</si>
  <si>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</si>
  <si>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</si>
  <si>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</si>
  <si>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</si>
  <si>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</si>
  <si>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</si>
  <si>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</si>
  <si>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</si>
  <si>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</si>
  <si>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</si>
  <si>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</si>
  <si>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</si>
  <si>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</si>
  <si>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</si>
  <si>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</si>
  <si>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</si>
  <si>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</si>
  <si>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</si>
  <si>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</si>
  <si>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</si>
  <si>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</si>
  <si>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</si>
  <si>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</si>
  <si>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</si>
  <si>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</si>
  <si>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</si>
  <si>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</si>
  <si>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</si>
  <si>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</si>
  <si>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</si>
  <si>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</si>
  <si>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</si>
  <si>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</si>
  <si>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</si>
  <si>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</si>
  <si>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</si>
  <si>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</si>
  <si>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</si>
  <si>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</si>
  <si>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</si>
  <si>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</si>
  <si>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</si>
  <si>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</si>
  <si>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</si>
  <si>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</si>
  <si>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</si>
  <si>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</si>
  <si>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</si>
  <si>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</si>
  <si>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</si>
  <si>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</si>
  <si>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</si>
  <si>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</si>
  <si>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</si>
  <si>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</si>
  <si>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</si>
  <si>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</si>
  <si>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</si>
  <si>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</si>
  <si>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</si>
  <si>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</si>
  <si>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</si>
  <si>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</si>
  <si>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</si>
  <si>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</si>
  <si>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</si>
  <si>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</si>
  <si>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</si>
  <si>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</si>
  <si>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</si>
  <si>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</si>
  <si>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</si>
  <si>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</si>
  <si>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</si>
  <si>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</si>
  <si>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</si>
  <si>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</si>
  <si>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</si>
  <si>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</si>
  <si>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</si>
  <si>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</si>
  <si>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</si>
  <si>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</si>
  <si>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</si>
  <si>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</si>
  <si>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</si>
  <si>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</si>
  <si>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</si>
  <si>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</si>
  <si>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</si>
  <si>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</si>
  <si>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</si>
  <si>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</si>
  <si>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</si>
  <si>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</si>
  <si>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</si>
  <si>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</si>
  <si>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</si>
  <si>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</si>
  <si>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</si>
  <si>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</si>
  <si>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</si>
  <si>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</si>
  <si>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</si>
  <si>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</si>
  <si>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</si>
  <si>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</si>
  <si>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</si>
  <si>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</si>
  <si>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</si>
  <si>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</si>
  <si>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</si>
  <si>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</si>
  <si>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</si>
  <si>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</si>
  <si>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</si>
  <si>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</si>
  <si>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</si>
  <si>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</si>
  <si>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</si>
  <si>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</si>
  <si>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</si>
  <si>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</si>
  <si>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</si>
  <si>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</si>
  <si>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</si>
  <si>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</si>
  <si>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</si>
  <si>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</si>
  <si>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</si>
  <si>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</si>
  <si>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</si>
  <si>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</si>
  <si>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</si>
  <si>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</si>
  <si>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</si>
  <si>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</si>
  <si>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</si>
  <si>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</si>
  <si>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</si>
  <si>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</si>
  <si>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</si>
  <si>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</si>
  <si>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</si>
  <si>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</si>
  <si>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</si>
  <si>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</si>
  <si>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</si>
  <si>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</si>
  <si>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</si>
  <si>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</si>
  <si>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</si>
  <si>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</si>
  <si>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</si>
  <si>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</si>
  <si>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</si>
  <si>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</si>
  <si>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</si>
  <si>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</si>
  <si>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</si>
  <si>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</si>
  <si>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</si>
  <si>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</si>
  <si>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</si>
  <si>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</si>
  <si>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</si>
  <si>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</si>
  <si>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</si>
  <si>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</si>
  <si>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</si>
  <si>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</si>
  <si>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</si>
  <si>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</si>
  <si>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</si>
  <si>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</si>
  <si>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</si>
  <si>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</si>
  <si>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</si>
  <si>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</si>
  <si>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</si>
  <si>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</si>
  <si>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</si>
  <si>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</si>
  <si>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</si>
  <si>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</si>
  <si>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</si>
  <si>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</si>
  <si>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</si>
  <si>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</si>
  <si>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</si>
  <si>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</si>
  <si>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</si>
  <si>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</si>
  <si>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</si>
  <si>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</si>
  <si>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</si>
  <si>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</si>
  <si>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</si>
  <si>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</si>
  <si>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</si>
  <si>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</si>
  <si>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</si>
  <si>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</si>
  <si>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</si>
  <si>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</si>
  <si>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</si>
  <si>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</si>
  <si>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</si>
  <si>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</si>
  <si>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</si>
  <si>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</si>
  <si>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</si>
  <si>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</si>
  <si>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</si>
  <si>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</si>
  <si>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</si>
  <si>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</si>
  <si>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</si>
  <si>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</si>
  <si>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</si>
  <si>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</si>
  <si>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</si>
  <si>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</si>
  <si>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</si>
  <si>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</si>
  <si>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</si>
  <si>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</si>
  <si>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</si>
  <si>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</si>
  <si>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</si>
  <si>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</si>
  <si>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</si>
  <si>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</si>
  <si>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</si>
  <si>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</si>
  <si>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</si>
  <si>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</si>
  <si>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</si>
  <si>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</si>
  <si>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</si>
  <si>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</si>
  <si>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</si>
  <si>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</si>
  <si>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</si>
  <si>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</si>
  <si>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</si>
  <si>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</si>
  <si>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</si>
  <si>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</si>
  <si>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</si>
  <si>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</si>
  <si>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</si>
  <si>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</si>
  <si>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</si>
  <si>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</si>
  <si>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</si>
  <si>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</si>
  <si>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</si>
  <si>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</si>
  <si>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</si>
  <si>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</si>
  <si>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</si>
  <si>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</si>
  <si>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</si>
  <si>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</si>
  <si>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</si>
  <si>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</si>
  <si>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</si>
  <si>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</si>
  <si>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</si>
  <si>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</si>
  <si>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</si>
  <si>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</si>
  <si>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</si>
  <si>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</si>
  <si>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</si>
  <si>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</si>
  <si>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</si>
  <si>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</si>
  <si>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</si>
  <si>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</si>
  <si>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</si>
  <si>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</si>
  <si>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</si>
  <si>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</si>
  <si>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</si>
  <si>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</si>
  <si>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</si>
  <si>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</si>
  <si>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</si>
  <si>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</si>
  <si>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</si>
  <si>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</si>
  <si>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</si>
  <si>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</si>
  <si>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</si>
  <si>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</si>
  <si>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</si>
  <si>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</si>
  <si>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</si>
  <si>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</si>
  <si>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</si>
  <si>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</si>
  <si>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</si>
  <si>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</si>
  <si>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</si>
  <si>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</si>
  <si>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</si>
  <si>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</si>
  <si>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</si>
  <si>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</si>
  <si>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</si>
  <si>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</si>
  <si>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</si>
  <si>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</si>
  <si>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</si>
  <si>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</si>
  <si>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</si>
  <si>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</si>
  <si>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</si>
  <si>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</si>
  <si>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</si>
  <si>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</si>
  <si>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</si>
  <si>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</si>
  <si>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</si>
  <si>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</si>
  <si>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</si>
  <si>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</si>
  <si>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</si>
  <si>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</si>
  <si>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</si>
  <si>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</si>
  <si>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</si>
  <si>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</si>
  <si>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</si>
  <si>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</si>
  <si>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</si>
  <si>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</si>
  <si>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</si>
  <si>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</si>
  <si>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</si>
  <si>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</si>
  <si>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</si>
  <si>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</si>
  <si>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</si>
  <si>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</si>
  <si>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</si>
  <si>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</si>
  <si>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</si>
  <si>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</si>
  <si>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</si>
  <si>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</si>
  <si>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</si>
  <si>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</si>
  <si>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</si>
  <si>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</si>
  <si>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</si>
  <si>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</si>
  <si>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</si>
  <si>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</si>
  <si>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</si>
  <si>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</si>
  <si>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</si>
  <si>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</si>
  <si>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</si>
  <si>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</si>
  <si>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</si>
  <si>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</si>
  <si>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</si>
  <si>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</si>
  <si>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</si>
  <si>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</si>
  <si>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</si>
  <si>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</si>
  <si>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</si>
  <si>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</si>
  <si>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</si>
  <si>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</si>
  <si>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</si>
  <si>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</si>
  <si>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</si>
  <si>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</si>
  <si>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</si>
  <si>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</si>
  <si>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</si>
  <si>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</si>
  <si>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</si>
  <si>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</si>
  <si>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</si>
  <si>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</si>
  <si>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</si>
  <si>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</si>
  <si>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</si>
  <si>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</si>
  <si>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</si>
  <si>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</si>
  <si>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</si>
  <si>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</si>
  <si>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</si>
  <si>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</si>
  <si>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</si>
  <si>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</si>
  <si>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</si>
  <si>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</si>
  <si>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</si>
  <si>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</si>
  <si>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</si>
  <si>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</si>
  <si>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</si>
  <si>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</si>
  <si>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</si>
  <si>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</si>
  <si>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</si>
  <si>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</si>
  <si>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</si>
  <si>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</si>
  <si>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</si>
  <si>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</si>
  <si>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</si>
  <si>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</si>
  <si>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</si>
  <si>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</si>
  <si>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</si>
  <si>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</si>
  <si>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</si>
  <si>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</si>
  <si>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</si>
  <si>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</si>
  <si>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</si>
  <si>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</si>
  <si>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</si>
  <si>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</si>
  <si>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</si>
  <si>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</si>
  <si>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</si>
  <si>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</si>
  <si>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</si>
  <si>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</si>
  <si>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</si>
  <si>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</si>
  <si>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</si>
  <si>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</si>
  <si>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</si>
  <si>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</si>
  <si>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</si>
  <si>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</si>
  <si>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</si>
  <si>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</si>
  <si>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</si>
  <si>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</si>
  <si>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</si>
  <si>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</si>
  <si>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</si>
  <si>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</si>
  <si>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</si>
  <si>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</si>
  <si>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</si>
  <si>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</si>
  <si>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</si>
  <si>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</si>
  <si>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</si>
  <si>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</si>
  <si>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</si>
  <si>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</si>
  <si>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</si>
  <si>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</si>
  <si>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</si>
  <si>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</si>
  <si>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</si>
  <si>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</si>
  <si>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</si>
  <si>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</si>
  <si>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</si>
  <si>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</si>
  <si>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</si>
  <si>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</si>
  <si>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</si>
  <si>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</si>
  <si>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</si>
  <si>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</si>
  <si>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</si>
  <si>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</si>
  <si>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</si>
  <si>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</si>
  <si>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</si>
  <si>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</si>
  <si>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</si>
  <si>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</si>
  <si>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</si>
  <si>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</si>
  <si>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</si>
  <si>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</si>
  <si>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</si>
  <si>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</si>
  <si>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</si>
  <si>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</si>
  <si>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</si>
  <si>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</si>
  <si>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</si>
  <si>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</si>
  <si>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</si>
  <si>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</si>
  <si>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</si>
  <si>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</si>
  <si>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</si>
  <si>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</si>
  <si>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</si>
  <si>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</si>
  <si>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</si>
  <si>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</si>
  <si>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</si>
  <si>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</si>
  <si>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</si>
  <si>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</si>
  <si>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</si>
  <si>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</si>
  <si>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</si>
  <si>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</si>
  <si>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</si>
  <si>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</si>
  <si>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</si>
  <si>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</si>
  <si>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</si>
  <si>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</si>
  <si>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</si>
  <si>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</si>
  <si>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</si>
  <si>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</si>
  <si>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</si>
  <si>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</si>
  <si>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</si>
  <si>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</si>
  <si>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</si>
  <si>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</si>
  <si>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</si>
  <si>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</si>
  <si>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</si>
  <si>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</si>
  <si>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</si>
  <si>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</si>
  <si>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</si>
  <si>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</si>
  <si>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</si>
  <si>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</si>
  <si>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</si>
  <si>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</si>
  <si>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</si>
  <si>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</si>
  <si>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</si>
  <si>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</si>
  <si>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</si>
  <si>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</si>
  <si>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</si>
  <si>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</si>
  <si>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</si>
  <si>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</si>
  <si>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</si>
  <si>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</si>
  <si>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</si>
  <si>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</si>
  <si>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</si>
  <si>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</si>
  <si>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</si>
  <si>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</si>
  <si>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</si>
  <si>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</si>
  <si>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</si>
  <si>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</si>
  <si>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</si>
  <si>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</si>
  <si>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</si>
  <si>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</si>
  <si>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</si>
  <si>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</si>
  <si>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</si>
  <si>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</si>
  <si>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</si>
  <si>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</si>
  <si>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</si>
  <si>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</si>
  <si>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</si>
  <si>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</si>
  <si>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</si>
  <si>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</si>
  <si>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</si>
  <si>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</si>
  <si>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</si>
  <si>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</si>
  <si>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</si>
  <si>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</si>
  <si>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</si>
  <si>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</si>
  <si>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</si>
  <si>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</si>
  <si>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</si>
  <si>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</si>
  <si>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</si>
  <si>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</si>
  <si>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</si>
  <si>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</si>
  <si>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</si>
  <si>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</si>
  <si>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</si>
  <si>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</si>
  <si>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</si>
  <si>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</si>
  <si>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</si>
  <si>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</si>
  <si>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</si>
  <si>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</si>
  <si>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</si>
  <si>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</si>
  <si>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</si>
  <si>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</si>
  <si>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</si>
  <si>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</si>
  <si>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</si>
  <si>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</si>
  <si>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</si>
  <si>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</si>
  <si>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</si>
  <si>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</si>
  <si>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</si>
  <si>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</si>
  <si>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</si>
  <si>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</si>
  <si>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</si>
  <si>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</si>
  <si>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</si>
  <si>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</si>
  <si>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</si>
  <si>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</si>
  <si>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</si>
  <si>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</si>
  <si>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</si>
  <si>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</si>
  <si>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</si>
  <si>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</si>
  <si>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</si>
  <si>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</si>
  <si>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</si>
  <si>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</si>
  <si>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</si>
  <si>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</si>
  <si>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</si>
  <si>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</si>
  <si>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</si>
  <si>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</si>
  <si>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</si>
  <si>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</si>
  <si>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</si>
  <si>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</si>
  <si>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</si>
  <si>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</si>
  <si>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</si>
  <si>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</si>
  <si>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</si>
  <si>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</si>
  <si>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</si>
  <si>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</si>
  <si>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</si>
  <si>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</si>
  <si>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</si>
  <si>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</si>
  <si>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</si>
  <si>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</si>
  <si>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</si>
  <si>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</si>
  <si>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</si>
  <si>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</si>
  <si>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</si>
  <si>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</si>
  <si>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</si>
  <si>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</si>
  <si>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</si>
  <si>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</si>
  <si>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</si>
  <si>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</si>
  <si>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</si>
  <si>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</si>
  <si>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</si>
  <si>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</si>
  <si>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</si>
  <si>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</si>
  <si>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</si>
  <si>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</si>
  <si>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</si>
  <si>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</si>
  <si>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</si>
  <si>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</si>
  <si>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</si>
  <si>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</si>
  <si>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</si>
  <si>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</si>
  <si>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</si>
  <si>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</si>
  <si>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</si>
  <si>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</si>
  <si>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</si>
  <si>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</si>
  <si>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</si>
  <si>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</si>
  <si>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</si>
  <si>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</si>
  <si>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</si>
  <si>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</si>
  <si>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</si>
  <si>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</si>
  <si>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</si>
  <si>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</si>
  <si>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</si>
  <si>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</si>
  <si>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</si>
  <si>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</si>
  <si>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</si>
  <si>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</si>
  <si>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</si>
  <si>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</si>
  <si>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</si>
  <si>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</si>
  <si>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</si>
  <si>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</si>
  <si>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</si>
  <si>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</si>
  <si>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</si>
  <si>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</si>
  <si>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</si>
  <si>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</si>
  <si>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</si>
  <si>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</si>
  <si>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</si>
  <si>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</si>
  <si>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</si>
  <si>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</si>
  <si>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</si>
  <si>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</si>
  <si>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</si>
  <si>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</si>
  <si>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</si>
  <si>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</si>
  <si>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</si>
  <si>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</si>
  <si>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</si>
  <si>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</si>
  <si>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</si>
  <si>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</si>
  <si>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</si>
  <si>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</si>
  <si>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</si>
  <si>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</si>
  <si>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</si>
  <si>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</si>
  <si>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</si>
  <si>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</si>
  <si>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</si>
  <si>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</si>
  <si>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</si>
  <si>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</si>
  <si>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</si>
  <si>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</si>
  <si>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</si>
  <si>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</si>
  <si>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</si>
  <si>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</si>
  <si>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</si>
  <si>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</si>
  <si>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</si>
  <si>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</si>
  <si>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</si>
  <si>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</si>
  <si>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</si>
  <si>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</si>
  <si>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</si>
  <si>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</si>
  <si>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</si>
  <si>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</si>
  <si>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</si>
  <si>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</si>
  <si>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</si>
  <si>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</si>
  <si>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</si>
  <si>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</si>
  <si>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</si>
  <si>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</si>
  <si>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</si>
  <si>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</si>
  <si>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</si>
  <si>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</si>
  <si>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</si>
  <si>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</si>
  <si>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</si>
  <si>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</si>
  <si>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</si>
  <si>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</si>
  <si>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</si>
  <si>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</si>
  <si>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</si>
  <si>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</si>
  <si>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</si>
  <si>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</si>
  <si>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</si>
  <si>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</si>
  <si>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</si>
  <si>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</si>
  <si>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</si>
  <si>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</si>
  <si>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</si>
  <si>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</si>
  <si>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</si>
  <si>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</si>
  <si>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</si>
  <si>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</si>
  <si>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</si>
  <si>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</si>
  <si>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</si>
  <si>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</si>
  <si>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</si>
  <si>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</si>
  <si>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</si>
  <si>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</si>
  <si>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</si>
  <si>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</si>
  <si>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</si>
  <si>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</si>
  <si>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</si>
  <si>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</si>
  <si>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</si>
  <si>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</si>
  <si>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</si>
  <si>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</si>
  <si>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</si>
  <si>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</si>
  <si>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</si>
  <si>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</si>
  <si>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</si>
  <si>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</si>
  <si>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</si>
  <si>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</si>
  <si>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</si>
  <si>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</si>
  <si>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</si>
  <si>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</si>
  <si>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</si>
  <si>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</si>
  <si>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</si>
  <si>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</si>
  <si>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</si>
  <si>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</si>
  <si>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</si>
  <si>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</si>
  <si>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</si>
  <si>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</si>
  <si>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</si>
  <si>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</si>
  <si>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</si>
  <si>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</si>
  <si>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</si>
  <si>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</si>
  <si>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</si>
  <si>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</si>
  <si>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</si>
  <si>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</si>
  <si>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</si>
  <si>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</si>
  <si>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</si>
  <si>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</si>
  <si>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</si>
  <si>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</si>
  <si>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</si>
  <si>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</si>
  <si>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</si>
  <si>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</si>
  <si>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</si>
  <si>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</si>
  <si>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</si>
  <si>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</si>
  <si>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</si>
  <si>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</si>
  <si>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</si>
  <si>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</si>
  <si>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</si>
  <si>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</si>
  <si>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</si>
  <si>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</si>
  <si>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</si>
  <si>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</si>
  <si>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</si>
  <si>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</si>
  <si>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</si>
  <si>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</si>
  <si>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</si>
  <si>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</si>
  <si>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</si>
  <si>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</si>
  <si>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</si>
  <si>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</si>
  <si>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</si>
  <si>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</si>
  <si>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</si>
  <si>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</si>
  <si>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</si>
  <si>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</si>
  <si>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</si>
  <si>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</si>
  <si>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</si>
  <si>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</si>
  <si>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</si>
  <si>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</si>
  <si>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</si>
  <si>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</si>
  <si>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</si>
  <si>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</si>
  <si>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</si>
  <si>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</si>
  <si>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</si>
  <si>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</si>
  <si>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</si>
  <si>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</si>
  <si>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</si>
  <si>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</si>
  <si>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</si>
  <si>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</si>
  <si>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</si>
  <si>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</si>
  <si>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</si>
  <si>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</si>
  <si>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</si>
  <si>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</si>
  <si>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</si>
  <si>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</si>
  <si>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</si>
  <si>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</si>
  <si>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</si>
  <si>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</si>
  <si>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</si>
  <si>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</si>
  <si>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</si>
  <si>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</si>
  <si>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</si>
  <si>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</si>
  <si>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</si>
  <si>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</si>
  <si>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</si>
  <si>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</si>
  <si>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</si>
  <si>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</si>
  <si>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Connor Betts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</si>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</sst>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18-40FE-BFC2-5CABEFD356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8-40FE-BFC2-5CABEFD356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18-40FE-BFC2-5CABEFD356E8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646628.11790000042</c:v>
                </c:pt>
                <c:pt idx="1">
                  <c:v>223410.76010000001</c:v>
                </c:pt>
                <c:pt idx="2">
                  <c:v>74244.423900000009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69-4961-A29C-6D41C6D883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69-4961-A29C-6D41C6D883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69-4961-A29C-6D41C6D883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69-4961-A29C-6D41C6D8832F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47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92590.410262000005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zoomScaleNormal="100" workbookViewId="0">
      <selection activeCell="H16" sqref="H16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36328125" style="1" hidden="1" customWidth="1"/>
    <col min="7" max="7" width="9" style="1" customWidth="1"/>
    <col min="8" max="8" width="15.1796875" style="1" customWidth="1"/>
    <col min="9" max="9" width="17.1796875" style="1" customWidth="1"/>
    <col min="10" max="10" width="15" style="1" customWidth="1"/>
    <col min="11" max="11" width="27.1796875" style="1" customWidth="1"/>
    <col min="12" max="12" width="18.36328125" style="1" customWidth="1"/>
    <col min="13" max="13" width="19" style="1" customWidth="1"/>
    <col min="14" max="14" width="12.36328125" style="1" customWidth="1"/>
    <col min="15" max="15" width="11.26953125" style="1" customWidth="1"/>
    <col min="16" max="16" width="12.81640625" style="1" customWidth="1"/>
    <col min="17" max="17" width="12" style="1" customWidth="1"/>
    <col min="18" max="18" width="12.7265625" style="1" customWidth="1"/>
    <col min="19" max="19" width="13.7265625" style="1" customWidth="1"/>
    <col min="20" max="20" width="15.26953125" style="1" customWidth="1"/>
    <col min="21" max="21" width="12.1796875" style="1" customWidth="1"/>
    <col min="22" max="22" width="11.81640625" style="1" customWidth="1"/>
    <col min="23" max="23" width="11.36328125" style="1" customWidth="1"/>
    <col min="24" max="24" width="12.54296875" style="1" customWidth="1"/>
    <col min="25" max="25" width="14.36328125" style="1" customWidth="1"/>
    <col min="26" max="26" width="12.453125" style="1" bestFit="1" customWidth="1"/>
    <col min="27" max="16384" width="8.81640625" style="1"/>
  </cols>
  <sheetData>
    <row r="1" spans="1:26" customFormat="1" ht="34" customHeight="1" x14ac:dyDescent="0.7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5">
      <c r="P2" s="27"/>
    </row>
    <row r="3" spans="1:26" customFormat="1" x14ac:dyDescent="0.35">
      <c r="A3" s="9" t="s">
        <v>1862</v>
      </c>
      <c r="B3" s="12">
        <f>COUNTA(Order_No)</f>
        <v>1039</v>
      </c>
      <c r="N3" s="1"/>
      <c r="O3" s="1"/>
      <c r="Y3" s="9" t="s">
        <v>2152</v>
      </c>
      <c r="Z3" s="46">
        <f>SUM(Total)</f>
        <v>1138806.9295619989</v>
      </c>
    </row>
    <row r="4" spans="1:26" customFormat="1" x14ac:dyDescent="0.35">
      <c r="P4" s="27"/>
    </row>
    <row r="5" spans="1:26" customFormat="1" ht="18" customHeight="1" x14ac:dyDescent="0.3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2151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topLeftCell="A21" workbookViewId="0">
      <selection activeCell="B29" sqref="B29"/>
    </sheetView>
  </sheetViews>
  <sheetFormatPr defaultRowHeight="14.5" x14ac:dyDescent="0.35"/>
  <cols>
    <col min="1" max="1" width="12.81640625" customWidth="1"/>
    <col min="2" max="2" width="20.26953125" style="27" customWidth="1"/>
    <col min="3" max="3" width="13.1796875" bestFit="1" customWidth="1"/>
    <col min="4" max="7" width="14.81640625" customWidth="1"/>
    <col min="8" max="8" width="21.7265625" style="27" customWidth="1"/>
  </cols>
  <sheetData>
    <row r="1" spans="1:19" ht="34" customHeight="1" x14ac:dyDescent="0.7">
      <c r="A1" s="11" t="s">
        <v>2150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5"/>
    <row r="3" spans="1:19" x14ac:dyDescent="0.35">
      <c r="A3" s="33" t="s">
        <v>1863</v>
      </c>
      <c r="B3" s="33"/>
      <c r="G3" s="42" t="s">
        <v>2159</v>
      </c>
      <c r="H3" s="50">
        <v>7.0000000000000007E-2</v>
      </c>
    </row>
    <row r="4" spans="1:19" x14ac:dyDescent="0.3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2153</v>
      </c>
    </row>
    <row r="5" spans="1:19" x14ac:dyDescent="0.35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35">
      <c r="A6" s="3" t="s">
        <v>2002</v>
      </c>
      <c r="B6" s="3" t="str">
        <f>VLOOKUP(A6,Staff[],4,0)</f>
        <v>Stevie Bacata</v>
      </c>
      <c r="C6" s="31">
        <f t="shared" ref="C6:C18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3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35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3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35">
      <c r="A10" s="3" t="s">
        <v>2038</v>
      </c>
      <c r="B10" s="3" t="str">
        <f>VLOOKUP(A10,Staff[],4,0)</f>
        <v>Tina Carlton</v>
      </c>
      <c r="C10" s="31">
        <f t="shared" si="1"/>
        <v>92590.410262000005</v>
      </c>
      <c r="D10" s="31">
        <f t="shared" ref="D10:E18" si="3">SUMIFS(Total,Account_Manager,$A10,Order_Year,D$4)</f>
        <v>21750.561262000003</v>
      </c>
      <c r="E10" s="31">
        <f t="shared" si="3"/>
        <v>42012.128400000001</v>
      </c>
      <c r="F10" s="31">
        <f>SUMIFS(Order_Quantity,Account_Manager,$A10,Order_Year,F$4)</f>
        <v>848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3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3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3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3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35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3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3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3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" thickBot="1" x14ac:dyDescent="0.4">
      <c r="A19" s="34" t="s">
        <v>2139</v>
      </c>
      <c r="B19" s="35"/>
      <c r="C19" s="36">
        <f>SUM(C5:C18)</f>
        <v>1089772.102562</v>
      </c>
      <c r="D19" s="36">
        <f>SUM(D5:D18)</f>
        <v>171750.79886200003</v>
      </c>
      <c r="E19" s="36">
        <f>SUM(E5:E18)</f>
        <v>319231.65949999995</v>
      </c>
      <c r="F19" s="36">
        <f>SUM(F5:F18)</f>
        <v>326500.94799999992</v>
      </c>
      <c r="G19" s="36">
        <f>SUM(G5:G18)</f>
        <v>272288.69620000001</v>
      </c>
      <c r="H19" s="36">
        <f>SUM(H17:H18)</f>
        <v>48716.019620999999</v>
      </c>
    </row>
    <row r="20" spans="1:8" ht="15" thickTop="1" x14ac:dyDescent="0.35"/>
    <row r="21" spans="1:8" x14ac:dyDescent="0.35">
      <c r="A21" s="37" t="s">
        <v>2141</v>
      </c>
    </row>
    <row r="22" spans="1:8" x14ac:dyDescent="0.3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>SUM(D23:F23)</f>
        <v>646628.11790000042</v>
      </c>
      <c r="H23" s="31">
        <f t="shared" ref="H23:H25" si="7">AVERAGE(D23:F23)</f>
        <v>215542.70596666681</v>
      </c>
    </row>
    <row r="24" spans="1:8" x14ac:dyDescent="0.3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>SUM(D24:F24)</f>
        <v>223410.76010000001</v>
      </c>
      <c r="H24" s="31">
        <f t="shared" si="7"/>
        <v>74470.253366666671</v>
      </c>
    </row>
    <row r="25" spans="1:8" x14ac:dyDescent="0.3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>SUM(D25:F25)</f>
        <v>74244.423900000009</v>
      </c>
      <c r="H25" s="31">
        <f t="shared" si="7"/>
        <v>24748.141300000003</v>
      </c>
    </row>
    <row r="26" spans="1:8" ht="15" thickBot="1" x14ac:dyDescent="0.4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944283.30190000054</v>
      </c>
      <c r="H26" s="36">
        <f>AVERAGE(C26:G26)</f>
        <v>412466.08053240017</v>
      </c>
    </row>
    <row r="27" spans="1:8" ht="15" thickTop="1" x14ac:dyDescent="0.35">
      <c r="A27" s="14"/>
      <c r="B27"/>
    </row>
    <row r="28" spans="1:8" x14ac:dyDescent="0.35">
      <c r="A28" s="40" t="s">
        <v>2144</v>
      </c>
    </row>
    <row r="29" spans="1:8" x14ac:dyDescent="0.35">
      <c r="A29" s="9" t="s">
        <v>2145</v>
      </c>
      <c r="B29" s="47" t="s">
        <v>2147</v>
      </c>
      <c r="C29" s="41" t="str">
        <f>INDEX(Emp_ID,MATCH(B29,Full_Name,0))</f>
        <v>E1232</v>
      </c>
      <c r="G29" s="9"/>
      <c r="H29" s="13" t="s">
        <v>2149</v>
      </c>
    </row>
    <row r="30" spans="1:8" x14ac:dyDescent="0.35">
      <c r="A30" s="14" t="s">
        <v>2146</v>
      </c>
      <c r="B30">
        <f>COUNTIFS(Account_Manager,C29)</f>
        <v>161</v>
      </c>
      <c r="C30" s="42" t="str">
        <f>IF(B30&lt;20,"Poor",IF(B30&lt;50,"Medium",IF(B30&lt;100,Good,"Excellent")))</f>
        <v>Excellent</v>
      </c>
      <c r="G30" s="44" t="s">
        <v>20</v>
      </c>
      <c r="H30" s="18">
        <f>COUNTIFS(Customer_Type,G30,Account_Manager,$C$29)</f>
        <v>33</v>
      </c>
    </row>
    <row r="31" spans="1:8" x14ac:dyDescent="0.35">
      <c r="A31" t="s">
        <v>1939</v>
      </c>
      <c r="B31" s="31">
        <f>INDEX(C5:C18,MATCH(C29,A5:A18,0))</f>
        <v>126287.17390000001</v>
      </c>
      <c r="C31" s="42" t="str">
        <f>IF(B31&gt;=AVERAGE(C5:C18),"Above Average","Below Average")</f>
        <v>Above Average</v>
      </c>
      <c r="G31" s="45" t="s">
        <v>27</v>
      </c>
      <c r="H31" s="51">
        <f>COUNTIFS(Customer_Type,G31,Account_Manager,$C$29)</f>
        <v>28</v>
      </c>
    </row>
    <row r="32" spans="1:8" x14ac:dyDescent="0.35">
      <c r="A32" t="s">
        <v>2148</v>
      </c>
      <c r="B32" s="12">
        <v>2015</v>
      </c>
      <c r="C32" s="31">
        <f>INDEX(D5:G18,MATCH(B29,B5:B18,0),MATCH(B32,C4:G4,0))</f>
        <v>47802.912599999996</v>
      </c>
      <c r="G32" s="38" t="s">
        <v>39</v>
      </c>
      <c r="H32" s="18">
        <f>COUNTIFS(Customer_Type,G32,Account_Manager,$C$29)</f>
        <v>47</v>
      </c>
    </row>
    <row r="33" spans="7:8" x14ac:dyDescent="0.35">
      <c r="G33" s="39" t="s">
        <v>46</v>
      </c>
      <c r="H33" s="18">
        <f>COUNTIFS(Customer_Type,G33,Account_Manager,$C$29)</f>
        <v>53</v>
      </c>
    </row>
    <row r="34" spans="7:8" x14ac:dyDescent="0.35">
      <c r="G34" s="19" t="s">
        <v>839</v>
      </c>
      <c r="H34" s="49">
        <f>SUM(H30:H33)</f>
        <v>161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5" sqref="E5"/>
    </sheetView>
  </sheetViews>
  <sheetFormatPr defaultRowHeight="14.5" x14ac:dyDescent="0.35"/>
  <cols>
    <col min="1" max="1" width="16.453125" customWidth="1"/>
    <col min="2" max="2" width="12.26953125" bestFit="1" customWidth="1"/>
    <col min="3" max="4" width="15.81640625" bestFit="1" customWidth="1"/>
    <col min="5" max="5" width="17.81640625" customWidth="1"/>
  </cols>
  <sheetData>
    <row r="1" spans="1:15" s="27" customFormat="1" ht="34" customHeight="1" x14ac:dyDescent="0.7">
      <c r="A1" s="11" t="s">
        <v>2154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5">
      <c r="A3" s="37" t="s">
        <v>2154</v>
      </c>
    </row>
    <row r="4" spans="1:15" x14ac:dyDescent="0.35">
      <c r="A4" s="32" t="s">
        <v>2142</v>
      </c>
      <c r="B4" s="32" t="s">
        <v>2156</v>
      </c>
      <c r="C4" s="32" t="s">
        <v>2157</v>
      </c>
      <c r="D4" s="32" t="s">
        <v>2155</v>
      </c>
      <c r="E4" s="32" t="s">
        <v>2158</v>
      </c>
    </row>
    <row r="5" spans="1:15" x14ac:dyDescent="0.35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35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35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" thickBot="1" x14ac:dyDescent="0.4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ColWidth="9.26953125" defaultRowHeight="14.5" x14ac:dyDescent="0.35"/>
  <cols>
    <col min="1" max="1" width="9.26953125" style="1"/>
    <col min="2" max="2" width="10.90625" style="1" bestFit="1" customWidth="1"/>
    <col min="3" max="3" width="9" style="1" bestFit="1" customWidth="1"/>
    <col min="4" max="4" width="16.81640625" style="1" bestFit="1" customWidth="1"/>
    <col min="5" max="5" width="9.26953125" style="1" customWidth="1"/>
    <col min="6" max="6" width="29.08984375" style="1" bestFit="1" customWidth="1"/>
    <col min="7" max="7" width="13.54296875" style="1" customWidth="1"/>
    <col min="8" max="8" width="14.453125" style="1" customWidth="1"/>
    <col min="9" max="9" width="15.6328125" style="1" bestFit="1" customWidth="1"/>
    <col min="10" max="10" width="16.6328125" style="1" customWidth="1"/>
    <col min="11" max="11" width="7.26953125" style="1" customWidth="1"/>
    <col min="12" max="12" width="11.453125" style="1" customWidth="1"/>
    <col min="13" max="13" width="13.26953125" style="1" customWidth="1"/>
    <col min="14" max="14" width="13.90625" style="1" customWidth="1"/>
    <col min="15" max="15" width="15" style="1" customWidth="1"/>
    <col min="16" max="16384" width="9.26953125" style="1"/>
  </cols>
  <sheetData>
    <row r="1" spans="1:26" s="27" customFormat="1" ht="34" customHeight="1" x14ac:dyDescent="0.7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19.405555555555555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19.333333333333332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17.794444444444444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16.180555555555557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14.95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14.416666666666666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14.263888888888889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13.652777777777779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12.205555555555556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11.83611111111111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10.53888888888889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10.377777777777778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9.35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9.0222222222222221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8.2527777777777782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7.7611111111111111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7.6638888888888888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7.1388888888888893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6.0805555555555557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5.7944444444444443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5.7666666666666666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5.6222222222222218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5.5305555555555559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5.4944444444444445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5.1694444444444443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4.875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4.8722222222222218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4.6222222222222218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4.6138888888888889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4.4861111111111107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4.45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3.6111111111111112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3.5277777777777777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10.463888888888889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3.1055555555555556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2020-06-27T17:43:30Z</dcterms:modified>
</cp:coreProperties>
</file>