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wellmcfarlane/Documents/LTspice/HiPStr/"/>
    </mc:Choice>
  </mc:AlternateContent>
  <xr:revisionPtr revIDLastSave="0" documentId="13_ncr:1_{9682C121-CD8F-C643-8D92-C569704CC622}" xr6:coauthVersionLast="47" xr6:coauthVersionMax="47" xr10:uidLastSave="{00000000-0000-0000-0000-000000000000}"/>
  <bookViews>
    <workbookView xWindow="0" yWindow="760" windowWidth="30240" windowHeight="18880" xr2:uid="{C166DFC3-7373-0D49-8D41-8BA2C491448F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B12" i="2"/>
  <c r="B13" i="2"/>
  <c r="B14" i="2"/>
  <c r="F21" i="2"/>
  <c r="F22" i="2" s="1"/>
  <c r="F19" i="2"/>
  <c r="B7" i="2"/>
  <c r="B8" i="2"/>
  <c r="B16" i="2"/>
  <c r="B20" i="2" s="1"/>
  <c r="F5" i="2"/>
  <c r="F6" i="2" s="1"/>
  <c r="B3" i="2"/>
  <c r="F23" i="2" l="1"/>
  <c r="F32" i="2"/>
  <c r="F30" i="2"/>
  <c r="F12" i="2"/>
  <c r="F31" i="2" s="1"/>
  <c r="F14" i="2"/>
  <c r="F13" i="2"/>
  <c r="B19" i="2"/>
  <c r="F33" i="2" l="1"/>
  <c r="F34" i="2" s="1"/>
  <c r="F26" i="2"/>
  <c r="F25" i="2" l="1"/>
  <c r="F27" i="2" s="1"/>
</calcChain>
</file>

<file path=xl/sharedStrings.xml><?xml version="1.0" encoding="utf-8"?>
<sst xmlns="http://schemas.openxmlformats.org/spreadsheetml/2006/main" count="80" uniqueCount="61">
  <si>
    <t>eta</t>
  </si>
  <si>
    <t>diff Cap sens</t>
  </si>
  <si>
    <t>pos sens</t>
  </si>
  <si>
    <t>w0</t>
  </si>
  <si>
    <t>Q</t>
  </si>
  <si>
    <t>Rmot</t>
  </si>
  <si>
    <t>Cmot</t>
  </si>
  <si>
    <t>Lmot</t>
  </si>
  <si>
    <t>wz</t>
  </si>
  <si>
    <t>wp1</t>
  </si>
  <si>
    <t>wp2</t>
  </si>
  <si>
    <t>X(min)</t>
  </si>
  <si>
    <t>precision</t>
  </si>
  <si>
    <t>m/s^2</t>
  </si>
  <si>
    <t>F/(m/s^2)</t>
  </si>
  <si>
    <t>m/(m/s^2)</t>
  </si>
  <si>
    <t>m</t>
  </si>
  <si>
    <t>Inoise</t>
  </si>
  <si>
    <t>Vbias</t>
  </si>
  <si>
    <t>A</t>
  </si>
  <si>
    <t>Transducer Properties</t>
  </si>
  <si>
    <t>Rfbk</t>
  </si>
  <si>
    <t>Cfbk</t>
  </si>
  <si>
    <t>F</t>
  </si>
  <si>
    <t>Ohms</t>
  </si>
  <si>
    <t>V</t>
  </si>
  <si>
    <t>Imax</t>
  </si>
  <si>
    <t>F/m</t>
  </si>
  <si>
    <t>Imin</t>
  </si>
  <si>
    <t>Ctot</t>
  </si>
  <si>
    <t>Vbf</t>
  </si>
  <si>
    <t>Hz</t>
  </si>
  <si>
    <t>Zfbk</t>
  </si>
  <si>
    <t>Expected Gain</t>
  </si>
  <si>
    <t>dB</t>
  </si>
  <si>
    <t>Vo(max)@55</t>
  </si>
  <si>
    <t>Vo(min)@1</t>
  </si>
  <si>
    <t>Expected Precision @ LTC6268</t>
  </si>
  <si>
    <t>V/'Hz</t>
  </si>
  <si>
    <t>A/'Hz</t>
  </si>
  <si>
    <t>Cpar</t>
  </si>
  <si>
    <t>In_total</t>
  </si>
  <si>
    <t>Von_total</t>
  </si>
  <si>
    <t>Vo(sens_noise)</t>
  </si>
  <si>
    <t>In_op</t>
  </si>
  <si>
    <t>F/'Hz</t>
  </si>
  <si>
    <t>Min. Expected SNR</t>
  </si>
  <si>
    <t>Max. Expected SNR</t>
  </si>
  <si>
    <t>Vn_op</t>
  </si>
  <si>
    <t>In_op(Vn)</t>
  </si>
  <si>
    <t>In_r</t>
  </si>
  <si>
    <t>TIA Properties</t>
  </si>
  <si>
    <t xml:space="preserve">Differential Capacitance Noise Density </t>
  </si>
  <si>
    <t>Sensor Current Noise Density Contribution</t>
  </si>
  <si>
    <t xml:space="preserve">Total Voltage Noise </t>
  </si>
  <si>
    <t>Total Input Acceleration  Precision</t>
  </si>
  <si>
    <t>TIA Diff. Cap. Noise Density</t>
  </si>
  <si>
    <t>TIA Diff. Cap. Noise</t>
  </si>
  <si>
    <t>ENOB</t>
  </si>
  <si>
    <t>Bits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</si>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</sst>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1" xfId="0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3" xfId="0" applyBorder="1"/>
    <xf numFmtId="0" fontId="0" fillId="0" borderId="8" xfId="0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11" xfId="0" applyBorder="1"/>
    <xf numFmtId="11" fontId="0" fillId="0" borderId="4" xfId="0" applyNumberFormat="1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E376-BFE2-2D49-9BB2-08C7E87539CD}">
  <dimension ref="A1:K35"/>
  <sheetViews>
    <sheetView tabSelected="1" zoomScale="107" workbookViewId="0">
      <selection activeCell="E9" sqref="E9"/>
    </sheetView>
  </sheetViews>
  <sheetFormatPr baseColWidth="10" defaultRowHeight="16" x14ac:dyDescent="0.2"/>
  <cols>
    <col min="2" max="2" width="12.1640625" bestFit="1" customWidth="1"/>
    <col min="4" max="4" width="3.83203125" customWidth="1"/>
    <col min="5" max="5" width="36.33203125" customWidth="1"/>
    <col min="6" max="6" width="12.1640625" bestFit="1" customWidth="1"/>
    <col min="8" max="8" width="3" customWidth="1"/>
  </cols>
  <sheetData>
    <row r="1" spans="1:10" x14ac:dyDescent="0.2">
      <c r="A1" t="s">
        <v>20</v>
      </c>
      <c r="E1" t="s">
        <v>51</v>
      </c>
    </row>
    <row r="2" spans="1:10" ht="17" thickBot="1" x14ac:dyDescent="0.25"/>
    <row r="3" spans="1:10" x14ac:dyDescent="0.2">
      <c r="A3" t="s">
        <v>29</v>
      </c>
      <c r="B3">
        <f>2*0.0000000000012</f>
        <v>2.3999999999999999E-12</v>
      </c>
      <c r="C3" t="s">
        <v>23</v>
      </c>
      <c r="E3" s="3" t="s">
        <v>22</v>
      </c>
      <c r="F3" s="4">
        <v>9.9999999999999998E-13</v>
      </c>
      <c r="G3" s="12" t="s">
        <v>23</v>
      </c>
      <c r="J3" s="2"/>
    </row>
    <row r="4" spans="1:10" x14ac:dyDescent="0.2">
      <c r="A4" t="s">
        <v>1</v>
      </c>
      <c r="B4" s="1">
        <v>2.3499999999999999E-15</v>
      </c>
      <c r="C4" t="s">
        <v>14</v>
      </c>
      <c r="E4" s="6" t="s">
        <v>21</v>
      </c>
      <c r="F4" s="1">
        <v>100000000</v>
      </c>
      <c r="G4" s="7" t="s">
        <v>24</v>
      </c>
    </row>
    <row r="5" spans="1:10" ht="17" thickBot="1" x14ac:dyDescent="0.25">
      <c r="A5" t="s">
        <v>2</v>
      </c>
      <c r="B5" s="1">
        <v>4.1000000000000003E-9</v>
      </c>
      <c r="C5" t="s">
        <v>15</v>
      </c>
      <c r="E5" s="9" t="s">
        <v>32</v>
      </c>
      <c r="F5" s="10">
        <f>F4/(1+2*PI()*B11*F3*F4)</f>
        <v>13730256.169841297</v>
      </c>
      <c r="G5" s="13" t="s">
        <v>24</v>
      </c>
    </row>
    <row r="6" spans="1:10" ht="17" thickBot="1" x14ac:dyDescent="0.25">
      <c r="A6" t="s">
        <v>12</v>
      </c>
      <c r="B6" s="1">
        <v>8.0000000000000002E-3</v>
      </c>
      <c r="C6" t="s">
        <v>13</v>
      </c>
      <c r="E6" s="9" t="s">
        <v>33</v>
      </c>
      <c r="F6" s="10">
        <f>20*LOG(F5)</f>
        <v>142.75357280170618</v>
      </c>
      <c r="G6" s="13" t="s">
        <v>34</v>
      </c>
    </row>
    <row r="7" spans="1:10" x14ac:dyDescent="0.2">
      <c r="A7" t="s">
        <v>0</v>
      </c>
      <c r="B7" s="1">
        <f>$B$4/$B$5</f>
        <v>5.7317073170731697E-7</v>
      </c>
      <c r="C7" t="s">
        <v>27</v>
      </c>
      <c r="F7" s="1"/>
    </row>
    <row r="8" spans="1:10" x14ac:dyDescent="0.2">
      <c r="A8" t="s">
        <v>11</v>
      </c>
      <c r="B8" s="1">
        <f>$B$6*$B$5</f>
        <v>3.2800000000000006E-11</v>
      </c>
      <c r="C8" t="s">
        <v>16</v>
      </c>
      <c r="F8" s="1"/>
    </row>
    <row r="9" spans="1:10" ht="17" thickBot="1" x14ac:dyDescent="0.25">
      <c r="B9" s="1"/>
      <c r="F9" s="1"/>
    </row>
    <row r="10" spans="1:10" x14ac:dyDescent="0.2">
      <c r="A10" s="3" t="s">
        <v>18</v>
      </c>
      <c r="B10" s="4">
        <v>5</v>
      </c>
      <c r="C10" s="12"/>
      <c r="F10" s="1"/>
    </row>
    <row r="11" spans="1:10" ht="17" thickBot="1" x14ac:dyDescent="0.25">
      <c r="A11" s="9" t="s">
        <v>30</v>
      </c>
      <c r="B11" s="10">
        <v>10000</v>
      </c>
      <c r="C11" s="13" t="s">
        <v>31</v>
      </c>
      <c r="F11" s="1"/>
    </row>
    <row r="12" spans="1:10" x14ac:dyDescent="0.2">
      <c r="A12" s="3" t="s">
        <v>17</v>
      </c>
      <c r="B12" s="4">
        <f>2*B4*B6*B10*2*PI()*B11</f>
        <v>1.1812388377497622E-11</v>
      </c>
      <c r="C12" s="12" t="s">
        <v>19</v>
      </c>
      <c r="E12" s="3" t="s">
        <v>43</v>
      </c>
      <c r="F12" s="4">
        <f>$B$12*$F$5</f>
        <v>1.6218711840069837E-4</v>
      </c>
      <c r="G12" s="5" t="s">
        <v>25</v>
      </c>
    </row>
    <row r="13" spans="1:10" x14ac:dyDescent="0.2">
      <c r="A13" s="6" t="s">
        <v>28</v>
      </c>
      <c r="B13" s="1">
        <f>2*B4*1*B10*2*PI()*B11</f>
        <v>1.4765485471872027E-9</v>
      </c>
      <c r="C13" s="7" t="s">
        <v>19</v>
      </c>
      <c r="E13" s="6" t="s">
        <v>36</v>
      </c>
      <c r="F13" s="1">
        <f>$B$13*$F$5</f>
        <v>2.0273389800087294E-2</v>
      </c>
      <c r="G13" s="8" t="s">
        <v>25</v>
      </c>
    </row>
    <row r="14" spans="1:10" ht="17" thickBot="1" x14ac:dyDescent="0.25">
      <c r="A14" s="9" t="s">
        <v>26</v>
      </c>
      <c r="B14" s="10">
        <f>2*B10*B4*55*B10*2*PI()*B11</f>
        <v>4.0605085047648073E-7</v>
      </c>
      <c r="C14" s="13" t="s">
        <v>19</v>
      </c>
      <c r="E14" s="9" t="s">
        <v>35</v>
      </c>
      <c r="F14" s="10">
        <f>$B$14*$F$5</f>
        <v>5.5751821950240057</v>
      </c>
      <c r="G14" s="11" t="s">
        <v>25</v>
      </c>
    </row>
    <row r="16" spans="1:10" ht="17" thickBot="1" x14ac:dyDescent="0.25">
      <c r="A16" t="s">
        <v>3</v>
      </c>
      <c r="B16" s="1">
        <f>2*PI()*2200</f>
        <v>13823.00767579509</v>
      </c>
      <c r="D16" s="1"/>
      <c r="E16" t="s">
        <v>37</v>
      </c>
    </row>
    <row r="17" spans="1:11" x14ac:dyDescent="0.2">
      <c r="A17" t="s">
        <v>4</v>
      </c>
      <c r="B17">
        <v>10</v>
      </c>
      <c r="D17" s="1"/>
      <c r="E17" s="3" t="s">
        <v>48</v>
      </c>
      <c r="F17" s="4">
        <v>4.9E-9</v>
      </c>
      <c r="G17" s="5" t="s">
        <v>38</v>
      </c>
    </row>
    <row r="18" spans="1:11" x14ac:dyDescent="0.2">
      <c r="E18" s="6" t="s">
        <v>40</v>
      </c>
      <c r="F18" s="1">
        <v>2.5000000000000001E-11</v>
      </c>
      <c r="G18" s="7" t="s">
        <v>23</v>
      </c>
    </row>
    <row r="19" spans="1:11" x14ac:dyDescent="0.2">
      <c r="A19" t="s">
        <v>5</v>
      </c>
      <c r="B19" s="1">
        <f>B16/B17</f>
        <v>1382.3007675795091</v>
      </c>
      <c r="D19" s="1"/>
      <c r="E19" s="6" t="s">
        <v>49</v>
      </c>
      <c r="F19" s="1">
        <f>F17*2*PI()*B11*F18</f>
        <v>7.6969020012949946E-15</v>
      </c>
      <c r="G19" s="8" t="s">
        <v>39</v>
      </c>
    </row>
    <row r="20" spans="1:11" x14ac:dyDescent="0.2">
      <c r="A20" t="s">
        <v>6</v>
      </c>
      <c r="B20" s="1">
        <f>1/(B16^2)</f>
        <v>5.2335322129306698E-9</v>
      </c>
      <c r="E20" s="6" t="s">
        <v>44</v>
      </c>
      <c r="F20" s="1">
        <v>5.3000000000000001E-15</v>
      </c>
      <c r="G20" s="8" t="s">
        <v>39</v>
      </c>
    </row>
    <row r="21" spans="1:11" ht="17" thickBot="1" x14ac:dyDescent="0.25">
      <c r="A21" t="s">
        <v>7</v>
      </c>
      <c r="B21">
        <v>1</v>
      </c>
      <c r="E21" s="9" t="s">
        <v>50</v>
      </c>
      <c r="F21" s="10">
        <f>SQRT(4*1.380649E-23*25/F4)</f>
        <v>3.715708546159131E-15</v>
      </c>
      <c r="G21" s="11" t="s">
        <v>39</v>
      </c>
    </row>
    <row r="22" spans="1:11" x14ac:dyDescent="0.2">
      <c r="E22" s="3" t="s">
        <v>41</v>
      </c>
      <c r="F22" s="4">
        <f>F21+F20+F19</f>
        <v>1.6712610547454126E-14</v>
      </c>
      <c r="G22" s="12" t="s">
        <v>39</v>
      </c>
      <c r="I22" s="1"/>
    </row>
    <row r="23" spans="1:11" ht="17" thickBot="1" x14ac:dyDescent="0.25">
      <c r="A23" t="s">
        <v>8</v>
      </c>
      <c r="B23">
        <v>0</v>
      </c>
      <c r="E23" s="9" t="s">
        <v>42</v>
      </c>
      <c r="F23" s="10">
        <f>F22*F5</f>
        <v>2.2946842408333674E-7</v>
      </c>
      <c r="G23" s="13" t="s">
        <v>38</v>
      </c>
      <c r="I23" s="1"/>
    </row>
    <row r="24" spans="1:11" ht="17" thickBot="1" x14ac:dyDescent="0.25">
      <c r="A24" t="s">
        <v>9</v>
      </c>
      <c r="B24" s="1">
        <v>-4817.1000000000004</v>
      </c>
      <c r="F24" s="1"/>
      <c r="I24" s="2"/>
    </row>
    <row r="25" spans="1:11" x14ac:dyDescent="0.2">
      <c r="A25" t="s">
        <v>10</v>
      </c>
      <c r="B25" s="1">
        <v>-9.9402999999999996E-13</v>
      </c>
      <c r="E25" s="3" t="s">
        <v>46</v>
      </c>
      <c r="F25" s="4">
        <f>20*LOG(F13/F23)</f>
        <v>98.924068753206043</v>
      </c>
      <c r="G25" s="12" t="s">
        <v>34</v>
      </c>
      <c r="I25" s="1"/>
    </row>
    <row r="26" spans="1:11" ht="17" thickBot="1" x14ac:dyDescent="0.25">
      <c r="E26" s="9" t="s">
        <v>47</v>
      </c>
      <c r="F26" s="10">
        <f>20*LOG(F14/F23)</f>
        <v>147.7107226298113</v>
      </c>
      <c r="G26" s="13" t="s">
        <v>34</v>
      </c>
    </row>
    <row r="27" spans="1:11" ht="17" thickBot="1" x14ac:dyDescent="0.25">
      <c r="E27" s="6" t="s">
        <v>58</v>
      </c>
      <c r="F27" s="20">
        <f>CEILING((F25-1.72)/6.02,1)</f>
        <v>17</v>
      </c>
      <c r="G27" s="7" t="s">
        <v>59</v>
      </c>
    </row>
    <row r="28" spans="1:11" x14ac:dyDescent="0.2">
      <c r="E28" s="14" t="s">
        <v>52</v>
      </c>
      <c r="F28" s="4">
        <v>1.2E-18</v>
      </c>
      <c r="G28" s="5" t="s">
        <v>45</v>
      </c>
      <c r="I28" s="1"/>
      <c r="K28" s="1"/>
    </row>
    <row r="29" spans="1:11" ht="17" thickBot="1" x14ac:dyDescent="0.25">
      <c r="E29" s="15" t="s">
        <v>53</v>
      </c>
      <c r="F29" s="10">
        <f>2*F28*2*PI()*$B$11*$B$10</f>
        <v>7.5398223686155032E-13</v>
      </c>
      <c r="G29" s="11" t="s">
        <v>39</v>
      </c>
      <c r="I29" s="20"/>
    </row>
    <row r="30" spans="1:11" ht="17" thickBot="1" x14ac:dyDescent="0.25">
      <c r="E30" s="16" t="s">
        <v>54</v>
      </c>
      <c r="F30" s="17">
        <f>($F$22+F29)*F5</f>
        <v>1.058183768370238E-5</v>
      </c>
      <c r="G30" s="18" t="s">
        <v>38</v>
      </c>
      <c r="I30" s="20"/>
    </row>
    <row r="31" spans="1:11" ht="17" thickBot="1" x14ac:dyDescent="0.25">
      <c r="E31" s="9" t="s">
        <v>60</v>
      </c>
      <c r="F31" s="10">
        <f>20*LOG(F5*(F22*SQRT(B11)+B12)/F12)</f>
        <v>1.1493946989397454</v>
      </c>
      <c r="G31" s="13" t="s">
        <v>34</v>
      </c>
    </row>
    <row r="32" spans="1:11" x14ac:dyDescent="0.2">
      <c r="A32" s="1"/>
      <c r="E32" s="19" t="s">
        <v>56</v>
      </c>
      <c r="F32" s="20">
        <f>($F$22/(2*2*PI()*$B$11))</f>
        <v>1.3299472902985355E-19</v>
      </c>
      <c r="G32" s="7" t="s">
        <v>45</v>
      </c>
    </row>
    <row r="33" spans="1:7" x14ac:dyDescent="0.2">
      <c r="A33" s="1"/>
      <c r="E33" s="19" t="s">
        <v>57</v>
      </c>
      <c r="F33" s="1">
        <f>F32*SQRT(270)</f>
        <v>2.1853263935681385E-18</v>
      </c>
      <c r="G33" s="7" t="s">
        <v>23</v>
      </c>
    </row>
    <row r="34" spans="1:7" ht="17" thickBot="1" x14ac:dyDescent="0.25">
      <c r="E34" s="9" t="s">
        <v>55</v>
      </c>
      <c r="F34" s="10">
        <f>F33/$B$4</f>
        <v>9.2992612492261216E-4</v>
      </c>
      <c r="G34" s="13" t="s">
        <v>13</v>
      </c>
    </row>
    <row r="35" spans="1:7" x14ac:dyDescent="0.2">
      <c r="A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McFarlane</dc:creator>
  <cp:lastModifiedBy>Maxwell McFarlane</cp:lastModifiedBy>
  <dcterms:created xsi:type="dcterms:W3CDTF">2024-12-09T08:35:10Z</dcterms:created>
  <dcterms:modified xsi:type="dcterms:W3CDTF">2024-12-12T17:08:33Z</dcterms:modified>
</cp:coreProperties>
</file>