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updateLinks="always" codeName="ThisWorkbook"/>
  <bookViews>
    <workbookView xWindow="1920" yWindow="0" windowWidth="17280" windowHeight="10920" tabRatio="755" activeTab="2"/>
  </bookViews>
  <sheets>
    <sheet name="Printout" sheetId="6806" r:id="rId1"/>
    <sheet name="Strength 12" sheetId="4" r:id="rId2"/>
    <sheet name="Strength 28" sheetId="6808" r:id="rId3"/>
    <sheet name="thelines" sheetId="14" r:id="rId4"/>
    <sheet name="Rubber Bands" sheetId="6805" r:id="rId5"/>
    <sheet name="Total Strength" sheetId="3" r:id="rId6"/>
    <sheet name="Installation" sheetId="6821" r:id="rId7"/>
  </sheets>
  <externalReferences>
    <externalReference r:id="rId8"/>
    <externalReference r:id="rId9"/>
    <externalReference r:id="rId10"/>
    <externalReference r:id="rId11"/>
  </externalReferences>
  <definedNames>
    <definedName name="Bid">'Strength 12'!$C$6:$N$6</definedName>
    <definedName name="High">'Strength 12'!$C$4:$N$4</definedName>
    <definedName name="Low">'Strength 12'!$C$7:$N$7</definedName>
    <definedName name="PIP_Range">'Strength 12'!$C$10:$N$10</definedName>
  </definedNames>
  <calcPr calcId="144525"/>
  <customWorkbookViews>
    <customWorkbookView name="wealloat - Personal View" guid="{67D24A5F-4A49-4D73-A781-A6453EF72A3F}" mergeInterval="0" personalView="1" xWindow="5" yWindow="24" windowWidth="1010" windowHeight="576" activeSheetId="2" showFormulaBar="0" showComments="commNone" showObjects="placeholders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7" i="6808" l="1"/>
  <c r="Q6" i="6808"/>
  <c r="Q5" i="6808"/>
  <c r="Q4" i="6808"/>
  <c r="P7" i="6808"/>
  <c r="P6" i="6808"/>
  <c r="P5" i="6808"/>
  <c r="P4" i="6808"/>
  <c r="Y7" i="6808"/>
  <c r="Y6" i="6808"/>
  <c r="Y5" i="6808"/>
  <c r="Y4" i="6808"/>
  <c r="X7" i="6808"/>
  <c r="X6" i="6808"/>
  <c r="X5" i="6808"/>
  <c r="X4" i="6808"/>
  <c r="Y15" i="6808"/>
  <c r="X15" i="6808"/>
  <c r="Y13" i="6808"/>
  <c r="X13" i="6808"/>
  <c r="V15" i="6808"/>
  <c r="V13" i="6808"/>
  <c r="P15" i="6808"/>
  <c r="P13" i="6808"/>
  <c r="D7" i="6808"/>
  <c r="D6" i="6808"/>
  <c r="D5" i="6808"/>
  <c r="D4" i="6808"/>
  <c r="D15" i="6808"/>
  <c r="D13" i="6808"/>
  <c r="Y8" i="6808" l="1"/>
  <c r="AI25" i="6808" s="1"/>
  <c r="X8" i="6808"/>
  <c r="AI24" i="6808" s="1"/>
  <c r="D8" i="6808"/>
  <c r="P8" i="6808"/>
  <c r="AI16" i="6808" s="1"/>
  <c r="AI22" i="6808"/>
  <c r="X10" i="6808"/>
  <c r="X11" i="6808" s="1"/>
  <c r="X14" i="6808" s="1"/>
  <c r="X16" i="6808" s="1"/>
  <c r="Y10" i="6808"/>
  <c r="Y11" i="6808" s="1"/>
  <c r="Y14" i="6808" s="1"/>
  <c r="Y16" i="6808" s="1"/>
  <c r="P10" i="6808"/>
  <c r="P11" i="6808" s="1"/>
  <c r="P14" i="6808" s="1"/>
  <c r="P16" i="6808" s="1"/>
  <c r="D10" i="6808"/>
  <c r="D11" i="6808" s="1"/>
  <c r="D14" i="6808" s="1"/>
  <c r="D16" i="6808" s="1"/>
  <c r="E13" i="6808"/>
  <c r="F13" i="6808"/>
  <c r="G13" i="6808"/>
  <c r="H13" i="6808"/>
  <c r="I13" i="6808"/>
  <c r="J13" i="6808"/>
  <c r="K13" i="6808"/>
  <c r="L13" i="6808"/>
  <c r="M13" i="6808"/>
  <c r="N13" i="6808"/>
  <c r="O13" i="6808"/>
  <c r="Q13" i="6808"/>
  <c r="R13" i="6808"/>
  <c r="S13" i="6808"/>
  <c r="T13" i="6808"/>
  <c r="U13" i="6808"/>
  <c r="W13" i="6808"/>
  <c r="Z13" i="6808"/>
  <c r="AA13" i="6808"/>
  <c r="AB13" i="6808"/>
  <c r="AC13" i="6808"/>
  <c r="AD13" i="6808"/>
  <c r="E15" i="6808"/>
  <c r="F15" i="6808"/>
  <c r="G15" i="6808"/>
  <c r="H15" i="6808"/>
  <c r="I15" i="6808"/>
  <c r="J15" i="6808"/>
  <c r="K15" i="6808"/>
  <c r="L15" i="6808"/>
  <c r="M15" i="6808"/>
  <c r="N15" i="6808"/>
  <c r="O15" i="6808"/>
  <c r="Q15" i="6808"/>
  <c r="R15" i="6808"/>
  <c r="S15" i="6808"/>
  <c r="T15" i="6808"/>
  <c r="U15" i="6808"/>
  <c r="W15" i="6808"/>
  <c r="Z15" i="6808"/>
  <c r="AA15" i="6808"/>
  <c r="AB15" i="6808"/>
  <c r="AC15" i="6808"/>
  <c r="AD15" i="6808"/>
  <c r="C15" i="6808"/>
  <c r="C13" i="6808"/>
  <c r="AD7" i="6808"/>
  <c r="AD6" i="6808"/>
  <c r="AD5" i="6808"/>
  <c r="AD4" i="6808"/>
  <c r="AC7" i="6808"/>
  <c r="AC6" i="6808"/>
  <c r="AC5" i="6808"/>
  <c r="AC4" i="6808"/>
  <c r="AB7" i="6808"/>
  <c r="AB6" i="6808"/>
  <c r="AB5" i="6808"/>
  <c r="AB4" i="6808"/>
  <c r="AA7" i="6808"/>
  <c r="AA6" i="6808"/>
  <c r="AA5" i="6808"/>
  <c r="AA4" i="6808"/>
  <c r="Z7" i="6808"/>
  <c r="Z6" i="6808"/>
  <c r="Z5" i="6808"/>
  <c r="Z4" i="6808"/>
  <c r="W7" i="6808"/>
  <c r="W6" i="6808"/>
  <c r="W5" i="6808"/>
  <c r="W4" i="6808"/>
  <c r="U7" i="6808"/>
  <c r="U6" i="6808"/>
  <c r="U5" i="6808"/>
  <c r="U4" i="6808"/>
  <c r="T7" i="6808"/>
  <c r="T6" i="6808"/>
  <c r="T5" i="6808"/>
  <c r="T4" i="6808"/>
  <c r="S7" i="6808"/>
  <c r="S6" i="6808"/>
  <c r="S5" i="6808"/>
  <c r="S4" i="6808"/>
  <c r="R7" i="6808"/>
  <c r="R6" i="6808"/>
  <c r="R5" i="6808"/>
  <c r="R4" i="6808"/>
  <c r="O7" i="6808"/>
  <c r="O6" i="6808"/>
  <c r="O5" i="6808"/>
  <c r="O4" i="6808"/>
  <c r="N7" i="6808"/>
  <c r="N6" i="6808"/>
  <c r="N5" i="6808"/>
  <c r="N4" i="6808"/>
  <c r="M7" i="6808"/>
  <c r="M6" i="6808"/>
  <c r="M5" i="6808"/>
  <c r="M4" i="6808"/>
  <c r="L7" i="6808"/>
  <c r="L6" i="6808"/>
  <c r="L5" i="6808"/>
  <c r="L4" i="6808"/>
  <c r="K7" i="6808"/>
  <c r="K6" i="6808"/>
  <c r="K5" i="6808"/>
  <c r="K4" i="6808"/>
  <c r="J7" i="6808"/>
  <c r="J6" i="6808"/>
  <c r="J5" i="6808"/>
  <c r="J4" i="6808"/>
  <c r="I7" i="6808"/>
  <c r="I6" i="6808"/>
  <c r="I5" i="6808"/>
  <c r="I4" i="6808"/>
  <c r="H7" i="6808"/>
  <c r="H6" i="6808"/>
  <c r="H5" i="6808"/>
  <c r="H4" i="6808"/>
  <c r="G7" i="6808"/>
  <c r="G6" i="6808"/>
  <c r="G5" i="6808"/>
  <c r="G4" i="6808"/>
  <c r="F7" i="6808"/>
  <c r="F6" i="6808"/>
  <c r="F5" i="6808"/>
  <c r="F4" i="6808"/>
  <c r="E7" i="6808"/>
  <c r="E6" i="6808"/>
  <c r="E5" i="6808"/>
  <c r="E4" i="6808"/>
  <c r="C7" i="6808"/>
  <c r="C6" i="6808"/>
  <c r="C5" i="6808"/>
  <c r="C4" i="6808"/>
  <c r="C4" i="4"/>
  <c r="D4" i="4"/>
  <c r="E4" i="4"/>
  <c r="F4" i="4"/>
  <c r="G4" i="4"/>
  <c r="H4" i="4"/>
  <c r="I4" i="4"/>
  <c r="J4" i="4"/>
  <c r="K4" i="4"/>
  <c r="L4" i="4"/>
  <c r="M4" i="4"/>
  <c r="N4" i="4"/>
  <c r="C5" i="4"/>
  <c r="D5" i="4"/>
  <c r="E5" i="4"/>
  <c r="F5" i="4"/>
  <c r="G5" i="4"/>
  <c r="H5" i="4"/>
  <c r="I5" i="4"/>
  <c r="J5" i="4"/>
  <c r="K5" i="4"/>
  <c r="L5" i="4"/>
  <c r="M5" i="4"/>
  <c r="N5" i="4"/>
  <c r="C6" i="4"/>
  <c r="D6" i="4"/>
  <c r="E6" i="4"/>
  <c r="F6" i="4"/>
  <c r="G6" i="4"/>
  <c r="H6" i="4"/>
  <c r="I6" i="4"/>
  <c r="J6" i="4"/>
  <c r="K6" i="4"/>
  <c r="L6" i="4"/>
  <c r="M6" i="4"/>
  <c r="N6" i="4"/>
  <c r="C7" i="4"/>
  <c r="D7" i="4"/>
  <c r="E7" i="4"/>
  <c r="F7" i="4"/>
  <c r="G7" i="4"/>
  <c r="H7" i="4"/>
  <c r="I7" i="4"/>
  <c r="J7" i="4"/>
  <c r="K7" i="4"/>
  <c r="L7" i="4"/>
  <c r="M7" i="4"/>
  <c r="N7" i="4"/>
  <c r="F8" i="4" l="1"/>
  <c r="S23" i="4" s="1"/>
  <c r="H8" i="4"/>
  <c r="S22" i="4" s="1"/>
  <c r="I8" i="4"/>
  <c r="S14" i="4" s="1"/>
  <c r="G8" i="4"/>
  <c r="S21" i="4" s="1"/>
  <c r="N8" i="4"/>
  <c r="S19" i="4" s="1"/>
  <c r="J8" i="4"/>
  <c r="L8" i="4"/>
  <c r="M8" i="4"/>
  <c r="S16" i="4" s="1"/>
  <c r="K8" i="4"/>
  <c r="S12" i="4" s="1"/>
  <c r="D8" i="4"/>
  <c r="S17" i="4" s="1"/>
  <c r="E8" i="4"/>
  <c r="S5" i="4" s="1"/>
  <c r="C8" i="4"/>
  <c r="AI4" i="6808"/>
  <c r="U10" i="6808"/>
  <c r="T10" i="6808"/>
  <c r="T11" i="6808" s="1"/>
  <c r="Q8" i="6808"/>
  <c r="AI17" i="6808" s="1"/>
  <c r="S8" i="6808"/>
  <c r="AI19" i="6808" s="1"/>
  <c r="I8" i="6808"/>
  <c r="AI9" i="6808" s="1"/>
  <c r="Z8" i="6808"/>
  <c r="AI26" i="6808" s="1"/>
  <c r="AD8" i="6808"/>
  <c r="AI30" i="6808" s="1"/>
  <c r="U8" i="6808"/>
  <c r="AI21" i="6808" s="1"/>
  <c r="H8" i="6808"/>
  <c r="AI8" i="6808" s="1"/>
  <c r="J8" i="6808"/>
  <c r="AI10" i="6808" s="1"/>
  <c r="O8" i="6808"/>
  <c r="AI15" i="6808" s="1"/>
  <c r="E8" i="6808"/>
  <c r="AI5" i="6808" s="1"/>
  <c r="L8" i="6808"/>
  <c r="AI12" i="6808" s="1"/>
  <c r="M8" i="6808"/>
  <c r="AI13" i="6808" s="1"/>
  <c r="R8" i="6808"/>
  <c r="AI18" i="6808" s="1"/>
  <c r="T8" i="6808"/>
  <c r="AI20" i="6808" s="1"/>
  <c r="N8" i="6808"/>
  <c r="AI14" i="6808" s="1"/>
  <c r="W8" i="6808"/>
  <c r="AI23" i="6808" s="1"/>
  <c r="AA8" i="6808"/>
  <c r="AI27" i="6808" s="1"/>
  <c r="AB8" i="6808"/>
  <c r="AI28" i="6808" s="1"/>
  <c r="AC8" i="6808"/>
  <c r="AI29" i="6808" s="1"/>
  <c r="K8" i="6808"/>
  <c r="AI11" i="6808" s="1"/>
  <c r="F8" i="6808"/>
  <c r="AI6" i="6808" s="1"/>
  <c r="G8" i="6808"/>
  <c r="AI7" i="6808" s="1"/>
  <c r="C8" i="6808"/>
  <c r="AI3" i="6808" s="1"/>
  <c r="F10" i="4"/>
  <c r="F11" i="4" s="1"/>
  <c r="F14" i="4" s="1"/>
  <c r="F16" i="4" s="1"/>
  <c r="Q10" i="6808"/>
  <c r="Q11" i="6808" s="1"/>
  <c r="Q14" i="6808" s="1"/>
  <c r="Q16" i="6808" s="1"/>
  <c r="R1" i="6808"/>
  <c r="Q1" i="6808"/>
  <c r="C10" i="4"/>
  <c r="C11" i="4" s="1"/>
  <c r="C14" i="4" s="1"/>
  <c r="C16" i="4" s="1"/>
  <c r="D10" i="4"/>
  <c r="D11" i="4" s="1"/>
  <c r="D14" i="4" s="1"/>
  <c r="D16" i="4" s="1"/>
  <c r="AD10" i="6808"/>
  <c r="AD11" i="6808" s="1"/>
  <c r="AD14" i="6808" s="1"/>
  <c r="AD16" i="6808" s="1"/>
  <c r="AC10" i="6808"/>
  <c r="AC11" i="6808" s="1"/>
  <c r="AB10" i="6808"/>
  <c r="AB11" i="6808" s="1"/>
  <c r="AB14" i="6808" s="1"/>
  <c r="AB16" i="6808" s="1"/>
  <c r="Z10" i="6808"/>
  <c r="Z11" i="6808" s="1"/>
  <c r="Z14" i="6808" s="1"/>
  <c r="AA10" i="6808"/>
  <c r="AA11" i="6808" s="1"/>
  <c r="AA14" i="6808" s="1"/>
  <c r="AA16" i="6808" s="1"/>
  <c r="W10" i="6808"/>
  <c r="W11" i="6808" s="1"/>
  <c r="W14" i="6808" s="1"/>
  <c r="W16" i="6808" s="1"/>
  <c r="S10" i="6808"/>
  <c r="S11" i="6808" s="1"/>
  <c r="S14" i="6808" s="1"/>
  <c r="S16" i="6808" s="1"/>
  <c r="R10" i="6808"/>
  <c r="R11" i="6808" s="1"/>
  <c r="R14" i="6808" s="1"/>
  <c r="R16" i="6808" s="1"/>
  <c r="O10" i="6808"/>
  <c r="O11" i="6808" s="1"/>
  <c r="N10" i="6808"/>
  <c r="N11" i="6808" s="1"/>
  <c r="N14" i="6808" s="1"/>
  <c r="N16" i="6808" s="1"/>
  <c r="M10" i="6808"/>
  <c r="M11" i="6808" s="1"/>
  <c r="L10" i="6808"/>
  <c r="L11" i="6808" s="1"/>
  <c r="L14" i="6808" s="1"/>
  <c r="L16" i="6808" s="1"/>
  <c r="K10" i="6808"/>
  <c r="K11" i="6808" s="1"/>
  <c r="K14" i="6808" s="1"/>
  <c r="J10" i="6808"/>
  <c r="J11" i="6808" s="1"/>
  <c r="J14" i="6808" s="1"/>
  <c r="J16" i="6808" s="1"/>
  <c r="I10" i="6808"/>
  <c r="I11" i="6808" s="1"/>
  <c r="I14" i="6808" s="1"/>
  <c r="I16" i="6808" s="1"/>
  <c r="G10" i="6808"/>
  <c r="G11" i="6808" s="1"/>
  <c r="G14" i="6808" s="1"/>
  <c r="G16" i="6808" s="1"/>
  <c r="H10" i="6808"/>
  <c r="H11" i="6808" s="1"/>
  <c r="H14" i="6808" s="1"/>
  <c r="H16" i="6808" s="1"/>
  <c r="F11" i="6808"/>
  <c r="F14" i="6808" s="1"/>
  <c r="F16" i="6808" s="1"/>
  <c r="E10" i="6808"/>
  <c r="E11" i="6808" s="1"/>
  <c r="E14" i="6808" s="1"/>
  <c r="C10" i="6808"/>
  <c r="C11" i="6808" s="1"/>
  <c r="L10" i="4"/>
  <c r="L11" i="4" s="1"/>
  <c r="L14" i="4" s="1"/>
  <c r="L16" i="4" s="1"/>
  <c r="H1" i="4"/>
  <c r="N10" i="4"/>
  <c r="N11" i="4" s="1"/>
  <c r="N14" i="4" s="1"/>
  <c r="N16" i="4" s="1"/>
  <c r="J10" i="4"/>
  <c r="J11" i="4" s="1"/>
  <c r="J14" i="4" s="1"/>
  <c r="J16" i="4" s="1"/>
  <c r="H10" i="4"/>
  <c r="H11" i="4" s="1"/>
  <c r="H14" i="4" s="1"/>
  <c r="H16" i="4" s="1"/>
  <c r="H19" i="4" s="1"/>
  <c r="D1" i="4"/>
  <c r="C1" i="4"/>
  <c r="M10" i="4"/>
  <c r="M11" i="4" s="1"/>
  <c r="M14" i="4" s="1"/>
  <c r="M16" i="4" s="1"/>
  <c r="K10" i="4"/>
  <c r="K11" i="4" s="1"/>
  <c r="K14" i="4" s="1"/>
  <c r="K16" i="4" s="1"/>
  <c r="I10" i="4"/>
  <c r="I11" i="4" s="1"/>
  <c r="I14" i="4" s="1"/>
  <c r="I16" i="4" s="1"/>
  <c r="G10" i="4"/>
  <c r="G11" i="4" s="1"/>
  <c r="G14" i="4" s="1"/>
  <c r="G16" i="4" s="1"/>
  <c r="E10" i="4"/>
  <c r="E11" i="4" s="1"/>
  <c r="E14" i="4" s="1"/>
  <c r="G1" i="4"/>
  <c r="S13" i="4" l="1"/>
  <c r="S10" i="4"/>
  <c r="S15" i="4"/>
  <c r="U8" i="4"/>
  <c r="V22" i="4"/>
  <c r="V18" i="4"/>
  <c r="U11" i="6808"/>
  <c r="U14" i="6808" s="1"/>
  <c r="U16" i="6808" s="1"/>
  <c r="T14" i="6808"/>
  <c r="T16" i="6808" s="1"/>
  <c r="AC14" i="6808"/>
  <c r="AC16" i="6808" s="1"/>
  <c r="O14" i="6808"/>
  <c r="O16" i="6808" s="1"/>
  <c r="M14" i="6808"/>
  <c r="M16" i="6808" s="1"/>
  <c r="C14" i="6808"/>
  <c r="Z16" i="6808"/>
  <c r="K16" i="6808"/>
  <c r="E16" i="6808"/>
  <c r="I19" i="4"/>
  <c r="E16" i="4"/>
  <c r="G19" i="4"/>
  <c r="V12" i="4" s="1"/>
  <c r="J19" i="4"/>
  <c r="V14" i="4" s="1"/>
  <c r="F19" i="4"/>
  <c r="V13" i="4" s="1"/>
  <c r="E19" i="4"/>
  <c r="C16" i="6808" l="1"/>
  <c r="D20" i="6808" s="1"/>
  <c r="U14" i="4"/>
  <c r="W14" i="4" s="1"/>
  <c r="U13" i="4"/>
  <c r="W13" i="4" s="1"/>
  <c r="U12" i="4"/>
  <c r="W12" i="4" s="1"/>
  <c r="U7" i="4"/>
  <c r="V10" i="4"/>
  <c r="U15" i="4"/>
  <c r="U10" i="4"/>
  <c r="U5" i="4"/>
  <c r="V20" i="4"/>
  <c r="U6" i="4"/>
  <c r="U4" i="4"/>
  <c r="U11" i="4"/>
  <c r="V23" i="4"/>
  <c r="V16" i="4"/>
  <c r="V9" i="4"/>
  <c r="V8" i="4"/>
  <c r="W8" i="4" s="1"/>
  <c r="V4" i="4"/>
  <c r="U20" i="4"/>
  <c r="U19" i="4"/>
  <c r="U18" i="4"/>
  <c r="W18" i="4" s="1"/>
  <c r="U17" i="4"/>
  <c r="U16" i="4"/>
  <c r="V11" i="4"/>
  <c r="U9" i="4"/>
  <c r="V21" i="4"/>
  <c r="V19" i="4"/>
  <c r="V7" i="4"/>
  <c r="U3" i="4"/>
  <c r="F19" i="6808"/>
  <c r="J19" i="6808"/>
  <c r="D19" i="4"/>
  <c r="V15" i="4" s="1"/>
  <c r="E20" i="6808" l="1"/>
  <c r="E19" i="6808" s="1"/>
  <c r="AK17" i="6808" s="1"/>
  <c r="H20" i="6808"/>
  <c r="H19" i="6808" s="1"/>
  <c r="AL3" i="6808" s="1"/>
  <c r="I20" i="6808"/>
  <c r="I19" i="6808" s="1"/>
  <c r="K20" i="6808"/>
  <c r="K19" i="6808" s="1"/>
  <c r="AL26" i="6808" s="1"/>
  <c r="G20" i="6808"/>
  <c r="G19" i="6808" s="1"/>
  <c r="W15" i="4"/>
  <c r="W7" i="4"/>
  <c r="W11" i="4"/>
  <c r="W10" i="4"/>
  <c r="V6" i="4"/>
  <c r="W6" i="4" s="1"/>
  <c r="V5" i="4"/>
  <c r="W5" i="4" s="1"/>
  <c r="W19" i="4"/>
  <c r="W4" i="4"/>
  <c r="W9" i="4"/>
  <c r="W16" i="4"/>
  <c r="W20" i="4"/>
  <c r="V3" i="4"/>
  <c r="W3" i="4" s="1"/>
  <c r="U23" i="4"/>
  <c r="W23" i="4" s="1"/>
  <c r="U22" i="4"/>
  <c r="W22" i="4" s="1"/>
  <c r="U21" i="4"/>
  <c r="W21" i="4" s="1"/>
  <c r="V17" i="4"/>
  <c r="W17" i="4" s="1"/>
  <c r="AK27" i="6808"/>
  <c r="AK26" i="6808"/>
  <c r="AK25" i="6808"/>
  <c r="AK24" i="6808"/>
  <c r="AL22" i="6808"/>
  <c r="AL16" i="6808"/>
  <c r="AL6" i="6808"/>
  <c r="AK30" i="6808"/>
  <c r="AK29" i="6808"/>
  <c r="AK28" i="6808"/>
  <c r="AL27" i="6808"/>
  <c r="AL23" i="6808"/>
  <c r="AL17" i="6808"/>
  <c r="AL7" i="6808"/>
  <c r="AK23" i="6808"/>
  <c r="AK22" i="6808"/>
  <c r="AK21" i="6808"/>
  <c r="AK20" i="6808"/>
  <c r="AK19" i="6808"/>
  <c r="AK18" i="6808"/>
  <c r="AL14" i="6808"/>
  <c r="AK12" i="6808" l="1"/>
  <c r="AK14" i="6808"/>
  <c r="AM14" i="6808" s="1"/>
  <c r="AK16" i="6808"/>
  <c r="AM16" i="6808" s="1"/>
  <c r="AK11" i="6808"/>
  <c r="AK13" i="6808"/>
  <c r="AK15" i="6808"/>
  <c r="AL30" i="6808"/>
  <c r="AM30" i="6808" s="1"/>
  <c r="AK3" i="6808"/>
  <c r="AM3" i="6808" s="1"/>
  <c r="AL18" i="6808"/>
  <c r="AM18" i="6808" s="1"/>
  <c r="AK7" i="6808"/>
  <c r="AM7" i="6808" s="1"/>
  <c r="AL5" i="6808"/>
  <c r="AL10" i="6808"/>
  <c r="AL9" i="6808"/>
  <c r="AL21" i="6808"/>
  <c r="AM21" i="6808" s="1"/>
  <c r="AL15" i="6808"/>
  <c r="AK5" i="6808"/>
  <c r="AL11" i="6808"/>
  <c r="AK4" i="6808"/>
  <c r="AK6" i="6808"/>
  <c r="AM6" i="6808" s="1"/>
  <c r="AM17" i="6808"/>
  <c r="AK9" i="6808"/>
  <c r="AK8" i="6808"/>
  <c r="AL28" i="6808"/>
  <c r="AM28" i="6808" s="1"/>
  <c r="AL24" i="6808"/>
  <c r="AM24" i="6808" s="1"/>
  <c r="AL19" i="6808"/>
  <c r="AM19" i="6808" s="1"/>
  <c r="AL12" i="6808"/>
  <c r="AK10" i="6808"/>
  <c r="AL29" i="6808"/>
  <c r="AM29" i="6808" s="1"/>
  <c r="AL25" i="6808"/>
  <c r="AM25" i="6808" s="1"/>
  <c r="AL20" i="6808"/>
  <c r="AM20" i="6808" s="1"/>
  <c r="AL13" i="6808"/>
  <c r="AL8" i="6808"/>
  <c r="AL4" i="6808"/>
  <c r="AM23" i="6808"/>
  <c r="AM22" i="6808"/>
  <c r="AM27" i="6808"/>
  <c r="AM26" i="6808"/>
  <c r="AM9" i="6808" l="1"/>
  <c r="AM13" i="6808"/>
  <c r="AM12" i="6808"/>
  <c r="AM15" i="6808"/>
  <c r="AM11" i="6808"/>
  <c r="AM10" i="6808"/>
  <c r="AM5" i="6808"/>
  <c r="AM4" i="6808"/>
  <c r="AM8" i="6808"/>
</calcChain>
</file>

<file path=xl/sharedStrings.xml><?xml version="1.0" encoding="utf-8"?>
<sst xmlns="http://schemas.openxmlformats.org/spreadsheetml/2006/main" count="190" uniqueCount="96">
  <si>
    <t>Strong</t>
  </si>
  <si>
    <t>Neutral</t>
  </si>
  <si>
    <t>Weak</t>
  </si>
  <si>
    <t>AUD/USD</t>
  </si>
  <si>
    <t>Bid</t>
  </si>
  <si>
    <t>Ask</t>
  </si>
  <si>
    <t>High</t>
  </si>
  <si>
    <t>Low</t>
  </si>
  <si>
    <t>GBP/JPY</t>
  </si>
  <si>
    <t>GBP</t>
  </si>
  <si>
    <t>GBP/CHF</t>
  </si>
  <si>
    <t>USD/CHF</t>
  </si>
  <si>
    <t>CHF</t>
  </si>
  <si>
    <t>EUR/CHF</t>
  </si>
  <si>
    <t>EUR/USD</t>
  </si>
  <si>
    <t>GBP/USD</t>
  </si>
  <si>
    <t>USD/JPY</t>
  </si>
  <si>
    <t>USD/CAD</t>
  </si>
  <si>
    <t>EUR/JPY</t>
  </si>
  <si>
    <t>EUR/GBP</t>
  </si>
  <si>
    <t>EUR/AUD</t>
  </si>
  <si>
    <t>PIP Range</t>
  </si>
  <si>
    <t>Bid Ratio</t>
  </si>
  <si>
    <t>Relative</t>
  </si>
  <si>
    <t>EUR</t>
  </si>
  <si>
    <t>AUD</t>
  </si>
  <si>
    <t>USD</t>
  </si>
  <si>
    <t>Strength</t>
  </si>
  <si>
    <t>JPY</t>
  </si>
  <si>
    <t>CAD</t>
  </si>
  <si>
    <t>Total Strength</t>
  </si>
  <si>
    <t># of evaluation points</t>
  </si>
  <si>
    <t>Rising</t>
  </si>
  <si>
    <t>Loonie/Dollar</t>
  </si>
  <si>
    <t>Pound/Dollar</t>
  </si>
  <si>
    <t>Euro/Dollar</t>
  </si>
  <si>
    <t>Weights</t>
  </si>
  <si>
    <t>Dollar/swiss</t>
  </si>
  <si>
    <t>Pair</t>
  </si>
  <si>
    <t>AUD/JPY</t>
  </si>
  <si>
    <t>CAD/CHF</t>
  </si>
  <si>
    <t>CAD/JPY</t>
  </si>
  <si>
    <t>CHF/JPY</t>
  </si>
  <si>
    <t>EUR/CAD</t>
  </si>
  <si>
    <t>GBP/AUD</t>
  </si>
  <si>
    <t>GBP/CAD</t>
  </si>
  <si>
    <t>AUDCAD</t>
  </si>
  <si>
    <t>AUDJPY</t>
  </si>
  <si>
    <t>AUDNZD</t>
  </si>
  <si>
    <t>AUDUSD</t>
  </si>
  <si>
    <t>CADCHF</t>
  </si>
  <si>
    <t>CADJPY</t>
  </si>
  <si>
    <t>CHFJPY</t>
  </si>
  <si>
    <t>EURAUD</t>
  </si>
  <si>
    <t>EURCAD</t>
  </si>
  <si>
    <t>EURCHF</t>
  </si>
  <si>
    <t>EURGBP</t>
  </si>
  <si>
    <t>EURJPY</t>
  </si>
  <si>
    <t>GBPAUD</t>
  </si>
  <si>
    <t>GBPCAD</t>
  </si>
  <si>
    <t>GBPCHF</t>
  </si>
  <si>
    <t>GBPJPY</t>
  </si>
  <si>
    <t>GBPUSD</t>
  </si>
  <si>
    <t>NZDJPY</t>
  </si>
  <si>
    <t>NZDUSD</t>
  </si>
  <si>
    <t>USDCAD</t>
  </si>
  <si>
    <t>USDCHF</t>
  </si>
  <si>
    <t>USDJPY</t>
  </si>
  <si>
    <t>Point Range</t>
  </si>
  <si>
    <t>NZD</t>
  </si>
  <si>
    <t>EURUSD</t>
  </si>
  <si>
    <t>AUDCHF</t>
  </si>
  <si>
    <t>EURNZD</t>
  </si>
  <si>
    <t>GBPNZD</t>
  </si>
  <si>
    <t>NZDCAD</t>
  </si>
  <si>
    <t>NZDCHF</t>
  </si>
  <si>
    <t>Spread</t>
  </si>
  <si>
    <t>δ</t>
  </si>
  <si>
    <t>Buy</t>
  </si>
  <si>
    <t>Sell</t>
  </si>
  <si>
    <t>Currency Strength Meter Installation</t>
  </si>
  <si>
    <t>Requirements:</t>
  </si>
  <si>
    <t>- Microsoft Excel Software.</t>
  </si>
  <si>
    <t>- MetaTrader 4.0 Platform.</t>
  </si>
  <si>
    <r>
      <rPr>
        <b/>
        <sz val="10"/>
        <rFont val="Arial"/>
        <family val="2"/>
      </rPr>
      <t>1.</t>
    </r>
    <r>
      <rPr>
        <sz val="10"/>
        <rFont val="Arial"/>
        <family val="2"/>
      </rPr>
      <t xml:space="preserve"> Download and Install MT 4 Platform – if you don’t already have it.</t>
    </r>
  </si>
  <si>
    <r>
      <rPr>
        <b/>
        <sz val="10"/>
        <rFont val="Arial"/>
        <family val="2"/>
      </rPr>
      <t>2.</t>
    </r>
    <r>
      <rPr>
        <sz val="10"/>
        <rFont val="Arial"/>
        <family val="2"/>
      </rPr>
      <t xml:space="preserve"> Enable DDE Server in the MT4 Platform</t>
    </r>
  </si>
  <si>
    <t>Once MT4 platform is installed, open platform, click on the “Tools” tab and then click on</t>
  </si>
  <si>
    <t>“Options”. The Options window will come up; check the box next to “Enable DDE server” as</t>
  </si>
  <si>
    <t>shown below and click on the “OK” button to save your settings.</t>
  </si>
  <si>
    <r>
      <rPr>
        <b/>
        <sz val="10"/>
        <rFont val="Arial"/>
        <family val="2"/>
      </rPr>
      <t>3.</t>
    </r>
    <r>
      <rPr>
        <sz val="10"/>
        <rFont val="Arial"/>
        <family val="2"/>
      </rPr>
      <t xml:space="preserve"> Open Strength Meter</t>
    </r>
  </si>
  <si>
    <t>Once you have enabled the DDE server option in MT4, you may open the Strength meter</t>
  </si>
  <si>
    <t>spreadsheet. You will need to have MT4 open every time before opening the meter.</t>
  </si>
  <si>
    <t>Upon opening the spreadsheet, you may be asked to enable macros. Click on Enable Macros.</t>
  </si>
  <si>
    <t>Then click on “Update” to retrieve data from MT4.</t>
  </si>
  <si>
    <t>You may also be asked about links that cannot be updated, just click on “Continue”.</t>
  </si>
  <si>
    <t>Once the spreadsheet opens up, you should see something similar as the 1st picture on top.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</si>
</sst>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0.0000"/>
    <numFmt numFmtId="165" formatCode="0.0%"/>
    <numFmt numFmtId="166" formatCode="0.0"/>
    <numFmt numFmtId="167" formatCode="0.00000"/>
    <numFmt numFmtId="168" formatCode="0.000"/>
    <numFmt numFmtId="169" formatCode="_(* #,##0.0_);_(* \(#,##0.0\);_(* &quot;-&quot;??_);_(@_)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i/>
      <sz val="12"/>
      <name val="Arial"/>
      <family val="2"/>
    </font>
    <font>
      <sz val="10"/>
      <color indexed="10"/>
      <name val="Arial"/>
      <family val="2"/>
    </font>
    <font>
      <b/>
      <sz val="10"/>
      <color indexed="17"/>
      <name val="Arial"/>
      <family val="2"/>
    </font>
    <font>
      <b/>
      <sz val="10"/>
      <color indexed="62"/>
      <name val="Arial"/>
      <family val="2"/>
    </font>
    <font>
      <b/>
      <sz val="10"/>
      <color indexed="10"/>
      <name val="Arial"/>
      <family val="2"/>
    </font>
    <font>
      <b/>
      <sz val="10"/>
      <color indexed="61"/>
      <name val="Arial"/>
      <family val="2"/>
    </font>
    <font>
      <b/>
      <sz val="10"/>
      <color indexed="10"/>
      <name val="Arial"/>
      <family val="2"/>
      <charset val="204"/>
    </font>
    <font>
      <b/>
      <sz val="10"/>
      <color indexed="52"/>
      <name val="Arial"/>
      <family val="2"/>
      <charset val="204"/>
    </font>
    <font>
      <b/>
      <sz val="10"/>
      <color indexed="13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name val="Arial"/>
      <family val="2"/>
    </font>
    <font>
      <sz val="10"/>
      <color theme="1" tint="4.9989318521683403E-2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9" tint="0.3999755851924192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8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2" borderId="4" xfId="0" applyFont="1" applyFill="1" applyBorder="1"/>
    <xf numFmtId="164" fontId="0" fillId="3" borderId="5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4" fillId="2" borderId="8" xfId="0" applyFont="1" applyFill="1" applyBorder="1"/>
    <xf numFmtId="164" fontId="0" fillId="3" borderId="9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0" fontId="4" fillId="2" borderId="11" xfId="0" applyFont="1" applyFill="1" applyBorder="1"/>
    <xf numFmtId="164" fontId="0" fillId="3" borderId="12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0" fontId="4" fillId="0" borderId="0" xfId="0" applyFont="1"/>
    <xf numFmtId="164" fontId="0" fillId="0" borderId="0" xfId="0" applyNumberFormat="1" applyAlignment="1">
      <alignment horizontal="center"/>
    </xf>
    <xf numFmtId="1" fontId="0" fillId="3" borderId="5" xfId="0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5" fontId="1" fillId="3" borderId="12" xfId="1" applyNumberFormat="1" applyFill="1" applyBorder="1" applyAlignment="1">
      <alignment horizontal="center"/>
    </xf>
    <xf numFmtId="165" fontId="1" fillId="3" borderId="13" xfId="1" applyNumberFormat="1" applyFill="1" applyBorder="1" applyAlignment="1">
      <alignment horizontal="center"/>
    </xf>
    <xf numFmtId="165" fontId="1" fillId="3" borderId="14" xfId="1" applyNumberFormat="1" applyFill="1" applyBorder="1" applyAlignment="1">
      <alignment horizontal="center"/>
    </xf>
    <xf numFmtId="0" fontId="4" fillId="2" borderId="5" xfId="0" applyFont="1" applyFill="1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9" xfId="0" applyFont="1" applyFill="1" applyBorder="1"/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5" fillId="2" borderId="9" xfId="0" applyFont="1" applyFill="1" applyBorder="1"/>
    <xf numFmtId="0" fontId="4" fillId="2" borderId="9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0" fillId="2" borderId="12" xfId="0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3" fillId="2" borderId="5" xfId="0" applyFont="1" applyFill="1" applyBorder="1"/>
    <xf numFmtId="0" fontId="0" fillId="2" borderId="7" xfId="0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66" fontId="0" fillId="4" borderId="19" xfId="0" applyNumberFormat="1" applyFill="1" applyBorder="1" applyAlignment="1">
      <alignment horizontal="center"/>
    </xf>
    <xf numFmtId="0" fontId="0" fillId="0" borderId="20" xfId="0" applyBorder="1"/>
    <xf numFmtId="0" fontId="5" fillId="0" borderId="21" xfId="0" applyFont="1" applyBorder="1" applyAlignment="1">
      <alignment horizontal="right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2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13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15" fillId="0" borderId="0" xfId="0" applyFont="1" applyFill="1" applyAlignment="1">
      <alignment horizontal="left"/>
    </xf>
    <xf numFmtId="1" fontId="7" fillId="0" borderId="0" xfId="0" applyNumberFormat="1" applyFont="1" applyAlignment="1">
      <alignment horizontal="right"/>
    </xf>
    <xf numFmtId="0" fontId="2" fillId="6" borderId="24" xfId="0" applyFont="1" applyFill="1" applyBorder="1" applyAlignment="1">
      <alignment horizontal="center"/>
    </xf>
    <xf numFmtId="0" fontId="0" fillId="6" borderId="0" xfId="0" applyFill="1"/>
    <xf numFmtId="0" fontId="16" fillId="0" borderId="0" xfId="0" applyFont="1" applyAlignment="1"/>
    <xf numFmtId="0" fontId="17" fillId="7" borderId="25" xfId="0" applyFont="1" applyFill="1" applyBorder="1" applyAlignment="1">
      <alignment horizontal="center"/>
    </xf>
    <xf numFmtId="0" fontId="17" fillId="8" borderId="26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168" fontId="0" fillId="3" borderId="0" xfId="0" applyNumberFormat="1" applyFill="1" applyBorder="1" applyAlignment="1">
      <alignment horizontal="center" vertical="center"/>
    </xf>
    <xf numFmtId="167" fontId="0" fillId="3" borderId="0" xfId="0" applyNumberFormat="1" applyFill="1" applyBorder="1" applyAlignment="1">
      <alignment horizontal="center" vertical="center"/>
    </xf>
    <xf numFmtId="168" fontId="0" fillId="3" borderId="10" xfId="0" applyNumberFormat="1" applyFill="1" applyBorder="1" applyAlignment="1">
      <alignment horizontal="center" vertical="center"/>
    </xf>
    <xf numFmtId="168" fontId="0" fillId="0" borderId="0" xfId="0" applyNumberFormat="1" applyFill="1" applyBorder="1" applyAlignment="1">
      <alignment horizontal="center" vertical="center"/>
    </xf>
    <xf numFmtId="1" fontId="7" fillId="0" borderId="0" xfId="0" applyNumberFormat="1" applyFont="1" applyAlignment="1">
      <alignment horizontal="right" vertical="center"/>
    </xf>
    <xf numFmtId="168" fontId="0" fillId="3" borderId="13" xfId="0" applyNumberFormat="1" applyFill="1" applyBorder="1" applyAlignment="1">
      <alignment horizontal="center" vertical="center"/>
    </xf>
    <xf numFmtId="167" fontId="0" fillId="3" borderId="13" xfId="0" applyNumberFormat="1" applyFill="1" applyBorder="1" applyAlignment="1">
      <alignment horizontal="center" vertical="center"/>
    </xf>
    <xf numFmtId="168" fontId="0" fillId="3" borderId="14" xfId="0" applyNumberFormat="1" applyFill="1" applyBorder="1" applyAlignment="1">
      <alignment horizontal="center" vertical="center"/>
    </xf>
    <xf numFmtId="1" fontId="0" fillId="3" borderId="5" xfId="0" applyNumberFormat="1" applyFill="1" applyBorder="1" applyAlignment="1">
      <alignment horizontal="center" vertical="center"/>
    </xf>
    <xf numFmtId="1" fontId="0" fillId="3" borderId="6" xfId="0" applyNumberFormat="1" applyFill="1" applyBorder="1" applyAlignment="1">
      <alignment horizontal="center" vertical="center"/>
    </xf>
    <xf numFmtId="1" fontId="0" fillId="3" borderId="7" xfId="0" applyNumberFormat="1" applyFill="1" applyBorder="1" applyAlignment="1">
      <alignment horizontal="center" vertical="center"/>
    </xf>
    <xf numFmtId="10" fontId="1" fillId="3" borderId="12" xfId="1" applyNumberFormat="1" applyFill="1" applyBorder="1" applyAlignment="1">
      <alignment horizontal="center" vertical="center"/>
    </xf>
    <xf numFmtId="10" fontId="1" fillId="3" borderId="13" xfId="1" applyNumberFormat="1" applyFill="1" applyBorder="1" applyAlignment="1">
      <alignment horizontal="center" vertical="center"/>
    </xf>
    <xf numFmtId="10" fontId="1" fillId="3" borderId="14" xfId="1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6" fillId="3" borderId="32" xfId="0" applyFont="1" applyFill="1" applyBorder="1" applyAlignment="1">
      <alignment horizontal="center" vertical="center"/>
    </xf>
    <xf numFmtId="0" fontId="17" fillId="7" borderId="25" xfId="0" applyFont="1" applyFill="1" applyBorder="1" applyAlignment="1">
      <alignment horizontal="center" vertical="center"/>
    </xf>
    <xf numFmtId="166" fontId="0" fillId="4" borderId="27" xfId="0" applyNumberForma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right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7" fillId="8" borderId="26" xfId="0" applyFont="1" applyFill="1" applyBorder="1" applyAlignment="1">
      <alignment horizontal="center" vertical="center"/>
    </xf>
    <xf numFmtId="10" fontId="0" fillId="0" borderId="0" xfId="1" applyNumberFormat="1" applyFont="1" applyAlignment="1">
      <alignment vertical="center"/>
    </xf>
    <xf numFmtId="0" fontId="6" fillId="3" borderId="35" xfId="0" applyFont="1" applyFill="1" applyBorder="1" applyAlignment="1">
      <alignment horizontal="center" vertical="center"/>
    </xf>
    <xf numFmtId="166" fontId="0" fillId="4" borderId="29" xfId="0" applyNumberFormat="1" applyFill="1" applyBorder="1" applyAlignment="1">
      <alignment horizontal="center" vertical="center"/>
    </xf>
    <xf numFmtId="0" fontId="6" fillId="3" borderId="3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6" fontId="0" fillId="4" borderId="38" xfId="0" applyNumberForma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3" fontId="2" fillId="0" borderId="0" xfId="2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3" fontId="2" fillId="0" borderId="36" xfId="2" applyFont="1" applyBorder="1" applyAlignment="1">
      <alignment horizontal="center" vertical="center"/>
    </xf>
    <xf numFmtId="0" fontId="18" fillId="6" borderId="2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7" borderId="36" xfId="0" applyFont="1" applyFill="1" applyBorder="1" applyAlignment="1">
      <alignment horizontal="center" vertical="center"/>
    </xf>
    <xf numFmtId="169" fontId="2" fillId="0" borderId="23" xfId="2" applyNumberFormat="1" applyFont="1" applyBorder="1" applyAlignment="1">
      <alignment horizontal="center" vertical="center"/>
    </xf>
    <xf numFmtId="169" fontId="2" fillId="0" borderId="39" xfId="2" applyNumberFormat="1" applyFont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20" fillId="9" borderId="25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4" fillId="10" borderId="26" xfId="0" applyFont="1" applyFill="1" applyBorder="1" applyAlignment="1">
      <alignment horizontal="center" vertical="center"/>
    </xf>
    <xf numFmtId="167" fontId="0" fillId="11" borderId="0" xfId="0" applyNumberFormat="1" applyFill="1" applyBorder="1" applyAlignment="1">
      <alignment horizontal="center" vertical="center"/>
    </xf>
    <xf numFmtId="166" fontId="0" fillId="11" borderId="20" xfId="0" applyNumberFormat="1" applyFill="1" applyBorder="1" applyAlignment="1">
      <alignment horizontal="center" vertical="center"/>
    </xf>
    <xf numFmtId="166" fontId="0" fillId="11" borderId="21" xfId="0" applyNumberFormat="1" applyFill="1" applyBorder="1" applyAlignment="1">
      <alignment horizontal="center" vertical="center"/>
    </xf>
    <xf numFmtId="166" fontId="0" fillId="11" borderId="22" xfId="0" applyNumberFormat="1" applyFill="1" applyBorder="1" applyAlignment="1">
      <alignment horizontal="center" vertical="center"/>
    </xf>
    <xf numFmtId="169" fontId="2" fillId="0" borderId="23" xfId="2" applyNumberFormat="1" applyFont="1" applyFill="1" applyBorder="1" applyAlignment="1">
      <alignment horizontal="center" vertical="center"/>
    </xf>
    <xf numFmtId="169" fontId="2" fillId="0" borderId="39" xfId="2" applyNumberFormat="1" applyFont="1" applyFill="1" applyBorder="1" applyAlignment="1">
      <alignment horizontal="center" vertical="center"/>
    </xf>
    <xf numFmtId="169" fontId="2" fillId="0" borderId="19" xfId="2" applyNumberFormat="1" applyFont="1" applyFill="1" applyBorder="1" applyAlignment="1">
      <alignment horizontal="center" vertical="center"/>
    </xf>
    <xf numFmtId="169" fontId="2" fillId="0" borderId="0" xfId="2" applyNumberFormat="1" applyFont="1" applyAlignment="1">
      <alignment horizontal="center" vertical="center"/>
    </xf>
    <xf numFmtId="169" fontId="2" fillId="0" borderId="26" xfId="2" applyNumberFormat="1" applyFont="1" applyBorder="1" applyAlignment="1">
      <alignment horizontal="center" vertical="center"/>
    </xf>
    <xf numFmtId="169" fontId="2" fillId="0" borderId="36" xfId="2" applyNumberFormat="1" applyFont="1" applyBorder="1" applyAlignment="1">
      <alignment horizontal="center" vertical="center"/>
    </xf>
    <xf numFmtId="0" fontId="1" fillId="0" borderId="0" xfId="0" quotePrefix="1" applyFont="1"/>
    <xf numFmtId="0" fontId="1" fillId="0" borderId="0" xfId="0" applyFont="1"/>
    <xf numFmtId="0" fontId="4" fillId="2" borderId="20" xfId="0" applyFont="1" applyFill="1" applyBorder="1"/>
    <xf numFmtId="0" fontId="2" fillId="7" borderId="21" xfId="0" applyFont="1" applyFill="1" applyBorder="1" applyAlignment="1">
      <alignment horizontal="center"/>
    </xf>
    <xf numFmtId="0" fontId="2" fillId="8" borderId="42" xfId="0" applyFont="1" applyFill="1" applyBorder="1" applyAlignment="1">
      <alignment horizontal="center"/>
    </xf>
    <xf numFmtId="166" fontId="0" fillId="3" borderId="21" xfId="0" applyNumberFormat="1" applyFill="1" applyBorder="1" applyAlignment="1">
      <alignment horizontal="center"/>
    </xf>
    <xf numFmtId="166" fontId="2" fillId="0" borderId="23" xfId="0" applyNumberFormat="1" applyFont="1" applyBorder="1" applyAlignment="1">
      <alignment horizontal="center"/>
    </xf>
    <xf numFmtId="166" fontId="2" fillId="0" borderId="26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6" fontId="2" fillId="0" borderId="10" xfId="0" applyNumberFormat="1" applyFont="1" applyBorder="1" applyAlignment="1">
      <alignment horizontal="center"/>
    </xf>
    <xf numFmtId="166" fontId="2" fillId="0" borderId="36" xfId="0" applyNumberFormat="1" applyFont="1" applyBorder="1" applyAlignment="1">
      <alignment horizontal="center"/>
    </xf>
    <xf numFmtId="166" fontId="2" fillId="0" borderId="14" xfId="0" applyNumberFormat="1" applyFont="1" applyBorder="1" applyAlignment="1">
      <alignment horizontal="center"/>
    </xf>
    <xf numFmtId="166" fontId="18" fillId="0" borderId="18" xfId="0" applyNumberFormat="1" applyFont="1" applyFill="1" applyBorder="1" applyAlignment="1">
      <alignment horizontal="center"/>
    </xf>
    <xf numFmtId="166" fontId="18" fillId="0" borderId="43" xfId="0" applyNumberFormat="1" applyFont="1" applyFill="1" applyBorder="1" applyAlignment="1">
      <alignment horizontal="center"/>
    </xf>
    <xf numFmtId="166" fontId="18" fillId="0" borderId="41" xfId="0" applyNumberFormat="1" applyFont="1" applyFill="1" applyBorder="1" applyAlignment="1">
      <alignment horizontal="center"/>
    </xf>
    <xf numFmtId="166" fontId="18" fillId="0" borderId="17" xfId="0" applyNumberFormat="1" applyFont="1" applyFill="1" applyBorder="1" applyAlignment="1">
      <alignment horizontal="center"/>
    </xf>
    <xf numFmtId="166" fontId="18" fillId="0" borderId="26" xfId="0" applyNumberFormat="1" applyFont="1" applyFill="1" applyBorder="1" applyAlignment="1">
      <alignment horizontal="center"/>
    </xf>
    <xf numFmtId="166" fontId="18" fillId="0" borderId="14" xfId="0" applyNumberFormat="1" applyFont="1" applyFill="1" applyBorder="1" applyAlignment="1">
      <alignment horizontal="center"/>
    </xf>
    <xf numFmtId="166" fontId="18" fillId="0" borderId="36" xfId="0" applyNumberFormat="1" applyFont="1" applyFill="1" applyBorder="1" applyAlignment="1">
      <alignment horizontal="center"/>
    </xf>
    <xf numFmtId="166" fontId="18" fillId="0" borderId="22" xfId="0" applyNumberFormat="1" applyFont="1" applyFill="1" applyBorder="1" applyAlignment="1">
      <alignment horizontal="center"/>
    </xf>
    <xf numFmtId="166" fontId="0" fillId="3" borderId="20" xfId="0" applyNumberFormat="1" applyFill="1" applyBorder="1" applyAlignment="1">
      <alignment horizontal="center"/>
    </xf>
    <xf numFmtId="166" fontId="0" fillId="3" borderId="22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44" xfId="0" applyFont="1" applyBorder="1" applyAlignment="1"/>
    <xf numFmtId="0" fontId="2" fillId="0" borderId="22" xfId="0" applyFont="1" applyBorder="1" applyAlignment="1"/>
    <xf numFmtId="0" fontId="2" fillId="0" borderId="43" xfId="0" applyFont="1" applyBorder="1" applyAlignment="1"/>
    <xf numFmtId="0" fontId="2" fillId="0" borderId="45" xfId="0" applyFont="1" applyBorder="1" applyAlignment="1"/>
    <xf numFmtId="0" fontId="18" fillId="6" borderId="22" xfId="0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33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left" vertical="center"/>
    </xf>
  </cellXfs>
  <cellStyles count="3">
    <cellStyle name="Comma" xfId="2" builtinId="3"/>
    <cellStyle name="Normal" xfId="0" builtinId="0"/>
    <cellStyle name="Percent" xfId="1" builtinId="5"/>
  </cellStyles>
  <dxfs count="68">
    <dxf>
      <fill>
        <patternFill>
          <bgColor rgb="FFFF0000"/>
        </patternFill>
      </fill>
    </dxf>
    <dxf>
      <fill>
        <patternFill patternType="solid">
          <bgColor rgb="FF00FF00"/>
        </patternFill>
      </fill>
    </dxf>
    <dxf>
      <fill>
        <patternFill>
          <bgColor rgb="FFFF0000"/>
        </patternFill>
      </fill>
    </dxf>
    <dxf>
      <fill>
        <patternFill patternType="solid">
          <bgColor rgb="FF00FF00"/>
        </patternFill>
      </fill>
    </dxf>
    <dxf>
      <fill>
        <patternFill>
          <bgColor rgb="FFFF0000"/>
        </patternFill>
      </fill>
    </dxf>
    <dxf>
      <fill>
        <patternFill patternType="solid">
          <bgColor rgb="FF00FF00"/>
        </patternFill>
      </fill>
    </dxf>
    <dxf>
      <fill>
        <patternFill>
          <bgColor rgb="FFFF0000"/>
        </patternFill>
      </fill>
    </dxf>
    <dxf>
      <fill>
        <patternFill patternType="solid">
          <bgColor rgb="FF00FF00"/>
        </patternFill>
      </fill>
    </dxf>
    <dxf>
      <font>
        <condense val="0"/>
        <extend val="0"/>
        <color indexed="9"/>
      </font>
      <fill>
        <patternFill>
          <bgColor rgb="FFFF0000"/>
        </patternFill>
      </fill>
    </dxf>
    <dxf>
      <fill>
        <patternFill>
          <bgColor indexed="51"/>
        </patternFill>
      </fill>
    </dxf>
    <dxf>
      <font>
        <color theme="1" tint="4.9989318521683403E-2"/>
        <name val="Cambria"/>
        <scheme val="none"/>
      </font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 patternType="solid">
          <bgColor rgb="FF00FF00"/>
        </patternFill>
      </fill>
    </dxf>
    <dxf>
      <fill>
        <patternFill>
          <bgColor rgb="FFFF0000"/>
        </patternFill>
      </fill>
    </dxf>
    <dxf>
      <fill>
        <patternFill patternType="solid"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 patternType="solid"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 patternType="solid">
          <bgColor rgb="FF00FF00"/>
        </patternFill>
      </fill>
    </dxf>
    <dxf>
      <fill>
        <patternFill>
          <bgColor rgb="FFFF0000"/>
        </patternFill>
      </fill>
    </dxf>
    <dxf>
      <fill>
        <patternFill patternType="solid"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 patternType="solid"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 patternType="solid">
          <bgColor rgb="FF00FF00"/>
        </patternFill>
      </fill>
    </dxf>
    <dxf>
      <font>
        <condense val="0"/>
        <extend val="0"/>
        <color indexed="9"/>
      </font>
      <fill>
        <patternFill>
          <bgColor rgb="FFFF0000"/>
        </patternFill>
      </fill>
    </dxf>
    <dxf>
      <fill>
        <patternFill>
          <bgColor indexed="51"/>
        </patternFill>
      </fill>
    </dxf>
    <dxf>
      <font>
        <color theme="1" tint="4.9989318521683403E-2"/>
        <name val="Cambria"/>
        <scheme val="none"/>
      </font>
      <fill>
        <patternFill>
          <bgColor rgb="FF00FF00"/>
        </patternFill>
      </fill>
    </dxf>
  </dxfs>
  <tableStyles count="0" defaultTableStyle="TableStyleMedium9" defaultPivotStyle="PivotStyleLight16"/>
  <colors>
    <mruColors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externalLink" Target="externalLinks/externalLink4.xml"/><Relationship Id="rId5" Type="http://schemas.openxmlformats.org/officeDocument/2006/relationships/chartsheet" Target="chartsheets/sheet2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chartsheet" Target="chartsheets/sheet1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Strength Comparison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0"/>
      <c:hPercent val="10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85000"/>
                </a:schemeClr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0-6AD9-4517-83DD-267F0F5B77A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85000"/>
                </a:schemeClr>
              </a:solidFill>
              <a:ln w="9525" cap="flat" cmpd="sng" algn="ctr">
                <a:solidFill>
                  <a:schemeClr val="accent2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75000"/>
                  </a:schemeClr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AD9-4517-83DD-267F0F5B77A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alpha val="85000"/>
                </a:schemeClr>
              </a:solidFill>
              <a:ln w="9525" cap="flat" cmpd="sng" algn="ctr">
                <a:solidFill>
                  <a:schemeClr val="accent3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75000"/>
                  </a:schemeClr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6AD9-4517-83DD-267F0F5B77A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alpha val="85000"/>
                </a:schemeClr>
              </a:solidFill>
              <a:ln w="9525" cap="flat" cmpd="sng" algn="ctr">
                <a:solidFill>
                  <a:schemeClr val="accent4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lumMod val="75000"/>
                  </a:schemeClr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AD9-4517-83DD-267F0F5B77A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accent5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lumMod val="75000"/>
                  </a:schemeClr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6AD9-4517-83DD-267F0F5B77A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alpha val="85000"/>
                </a:schemeClr>
              </a:solidFill>
              <a:ln w="9525" cap="flat" cmpd="sng" algn="ctr">
                <a:solidFill>
                  <a:schemeClr val="accent6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75000"/>
                  </a:schemeClr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AD9-4517-83DD-267F0F5B77A5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  <a:alpha val="85000"/>
                </a:schemeClr>
              </a:solidFill>
              <a:ln w="9525" cap="flat" cmpd="sng" algn="ctr">
                <a:solidFill>
                  <a:schemeClr val="accent1">
                    <a:lumMod val="60000"/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6AD9-4517-83DD-267F0F5B77A5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  <a:alpha val="85000"/>
                </a:schemeClr>
              </a:solidFill>
              <a:ln w="9525" cap="flat" cmpd="sng" algn="ctr">
                <a:solidFill>
                  <a:schemeClr val="accent2">
                    <a:lumMod val="60000"/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60000"/>
                    <a:lumMod val="75000"/>
                  </a:schemeClr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E-E21F-4C2D-BBAE-E3C38BCDDA2E}"/>
              </c:ext>
            </c:extLst>
          </c:dPt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'Strength 28'!$D$18:$K$18</c:f>
              <c:strCache>
                <c:ptCount val="8"/>
                <c:pt idx="0">
                  <c:v>USD</c:v>
                </c:pt>
                <c:pt idx="1">
                  <c:v>EUR</c:v>
                </c:pt>
                <c:pt idx="2">
                  <c:v>GBP</c:v>
                </c:pt>
                <c:pt idx="3">
                  <c:v>CHF</c:v>
                </c:pt>
                <c:pt idx="4">
                  <c:v>CAD</c:v>
                </c:pt>
                <c:pt idx="5">
                  <c:v>AUD</c:v>
                </c:pt>
                <c:pt idx="6">
                  <c:v>NZD</c:v>
                </c:pt>
                <c:pt idx="7">
                  <c:v>JPY</c:v>
                </c:pt>
              </c:strCache>
            </c:strRef>
          </c:cat>
          <c:val>
            <c:numRef>
              <c:f>'Strength 28'!$D$19:$K$19</c:f>
              <c:numCache>
                <c:formatCode>0.0</c:formatCode>
                <c:ptCount val="8"/>
                <c:pt idx="0">
                  <c:v>2.4</c:v>
                </c:pt>
                <c:pt idx="1">
                  <c:v>6</c:v>
                </c:pt>
                <c:pt idx="2">
                  <c:v>6</c:v>
                </c:pt>
                <c:pt idx="3">
                  <c:v>5.1428571428571432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3.4285714285714284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6AD9-4517-83DD-267F0F5B77A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cylinder"/>
        <c:axId val="127908480"/>
        <c:axId val="128471808"/>
        <c:axId val="0"/>
      </c:bar3DChart>
      <c:catAx>
        <c:axId val="12790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71808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128471808"/>
        <c:scaling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08480"/>
        <c:crosses val="autoZero"/>
        <c:crossBetween val="between"/>
        <c:minorUnit val="10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SG" sz="9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SG"/>
              <a:t>Weight</a:t>
            </a:r>
          </a:p>
        </c:rich>
      </c:tx>
      <c:layout>
        <c:manualLayout>
          <c:xMode val="edge"/>
          <c:yMode val="edge"/>
          <c:x val="0.2796892341842398"/>
          <c:y val="0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866814650388456"/>
          <c:y val="6.7395264116575995E-2"/>
          <c:w val="0.5227524972253057"/>
          <c:h val="0.85792349726775963"/>
        </c:manualLayout>
      </c:layout>
      <c:radarChart>
        <c:radarStyle val="marker"/>
        <c:varyColors val="1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triangle"/>
            <c:size val="10"/>
            <c:spPr>
              <a:solidFill>
                <a:srgbClr val="000000"/>
              </a:solidFill>
              <a:ln>
                <a:solidFill>
                  <a:srgbClr val="008080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dLbls>
            <c:dLbl>
              <c:idx val="0"/>
              <c:layout>
                <c:manualLayout>
                  <c:x val="-4.4022244167314932E-4"/>
                  <c:y val="0.1750760389923943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C88-4DEB-B831-4D4A3FE2FB73}"/>
                </c:ext>
              </c:extLst>
            </c:dLbl>
            <c:dLbl>
              <c:idx val="1"/>
              <c:layout>
                <c:manualLayout>
                  <c:x val="-5.7165296069400892E-2"/>
                  <c:y val="0.179248167749523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C88-4DEB-B831-4D4A3FE2FB73}"/>
                </c:ext>
              </c:extLst>
            </c:dLbl>
            <c:dLbl>
              <c:idx val="4"/>
              <c:layout>
                <c:manualLayout>
                  <c:x val="5.2665192655579555E-2"/>
                  <c:y val="-6.84820408377917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C88-4DEB-B831-4D4A3FE2FB73}"/>
                </c:ext>
              </c:extLst>
            </c:dLbl>
            <c:numFmt formatCode="0.0000" sourceLinked="0"/>
            <c:spPr>
              <a:gradFill rotWithShape="0">
                <a:gsLst>
                  <a:gs pos="0">
                    <a:srgbClr val="FFFFFF"/>
                  </a:gs>
                  <a:gs pos="100000">
                    <a:srgbClr val="FFFFFF">
                      <a:gamma/>
                      <a:shade val="81961"/>
                      <a:invGamma/>
                    </a:srgbClr>
                  </a:gs>
                </a:gsLst>
                <a:lin ang="5400000" scaled="1"/>
              </a:gradFill>
              <a:ln w="3175">
                <a:solidFill>
                  <a:srgbClr val="C0C0C0"/>
                </a:solidFill>
                <a:prstDash val="lgDash"/>
              </a:ln>
              <a:effectLst>
                <a:outerShdw dist="35921" dir="2700000" algn="br">
                  <a:srgbClr val="000000"/>
                </a:outerShdw>
              </a:effectLst>
            </c:spPr>
            <c:txPr>
              <a:bodyPr/>
              <a:lstStyle/>
              <a:p>
                <a:pPr>
                  <a:defRPr lang="en-SG"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'Strength 28'!$D$18:$K$18</c:f>
              <c:strCache>
                <c:ptCount val="8"/>
                <c:pt idx="0">
                  <c:v>USD</c:v>
                </c:pt>
                <c:pt idx="1">
                  <c:v>EUR</c:v>
                </c:pt>
                <c:pt idx="2">
                  <c:v>GBP</c:v>
                </c:pt>
                <c:pt idx="3">
                  <c:v>CHF</c:v>
                </c:pt>
                <c:pt idx="4">
                  <c:v>CAD</c:v>
                </c:pt>
                <c:pt idx="5">
                  <c:v>AUD</c:v>
                </c:pt>
                <c:pt idx="6">
                  <c:v>NZD</c:v>
                </c:pt>
                <c:pt idx="7">
                  <c:v>JPY</c:v>
                </c:pt>
              </c:strCache>
            </c:strRef>
          </c:cat>
          <c:val>
            <c:numRef>
              <c:f>'Strength 28'!$D$19:$K$19</c:f>
              <c:numCache>
                <c:formatCode>0.0</c:formatCode>
                <c:ptCount val="8"/>
                <c:pt idx="0">
                  <c:v>2.4</c:v>
                </c:pt>
                <c:pt idx="1">
                  <c:v>6</c:v>
                </c:pt>
                <c:pt idx="2">
                  <c:v>6</c:v>
                </c:pt>
                <c:pt idx="3">
                  <c:v>5.1428571428571432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3.4285714285714284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DC88-4DEB-B831-4D4A3FE2FB73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</c:dLbls>
        <c:axId val="128653184"/>
        <c:axId val="128672512"/>
      </c:radarChart>
      <c:catAx>
        <c:axId val="128653184"/>
        <c:scaling>
          <c:orientation val="minMax"/>
        </c:scaling>
        <c:delete val="0"/>
        <c:axPos val="b"/>
        <c:majorGridlines>
          <c:spPr>
            <a:ln w="3175">
              <a:solidFill>
                <a:srgbClr val="FFCC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SG"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8672512"/>
        <c:crosses val="autoZero"/>
        <c:auto val="0"/>
        <c:lblAlgn val="ctr"/>
        <c:lblOffset val="100"/>
        <c:noMultiLvlLbl val="0"/>
      </c:catAx>
      <c:valAx>
        <c:axId val="128672512"/>
        <c:scaling>
          <c:orientation val="minMax"/>
          <c:max val="8"/>
          <c:min val="0"/>
        </c:scaling>
        <c:delete val="0"/>
        <c:axPos val="l"/>
        <c:numFmt formatCode="0.000000" sourceLinked="0"/>
        <c:majorTickMark val="cross"/>
        <c:minorTickMark val="cross"/>
        <c:tickLblPos val="nextTo"/>
        <c:spPr>
          <a:ln w="3175">
            <a:solidFill>
              <a:srgbClr val="FFCC00"/>
            </a:solidFill>
            <a:prstDash val="solid"/>
          </a:ln>
        </c:spPr>
        <c:txPr>
          <a:bodyPr rot="0" vert="horz"/>
          <a:lstStyle/>
          <a:p>
            <a:pPr>
              <a:defRPr lang="en-SG" sz="975" b="0" i="0" u="none" strike="noStrike" baseline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8653184"/>
        <c:crosses val="autoZero"/>
        <c:crossBetween val="between"/>
        <c:minorUnit val="0.1"/>
        <c:dispUnits>
          <c:builtInUnit val="hundreds"/>
        </c:dispUnits>
      </c:valAx>
      <c:spPr>
        <a:gradFill rotWithShape="0">
          <a:gsLst>
            <a:gs pos="0">
              <a:srgbClr val="FFFFFF"/>
            </a:gs>
            <a:gs pos="100000">
              <a:srgbClr val="FFFFFF">
                <a:gamma/>
                <a:shade val="46275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SG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SG"/>
              <a:t>Relationships</a:t>
            </a:r>
          </a:p>
        </c:rich>
      </c:tx>
      <c:layout>
        <c:manualLayout>
          <c:xMode val="edge"/>
          <c:yMode val="edge"/>
          <c:x val="0.43090478639918928"/>
          <c:y val="3.023255813953488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1.8844232664931525E-2"/>
          <c:y val="0.14186062620438067"/>
          <c:w val="0.96356843026683114"/>
          <c:h val="0.76279156385306901"/>
        </c:manualLayout>
      </c:layout>
      <c:lineChart>
        <c:grouping val="standard"/>
        <c:varyColors val="0"/>
        <c:ser>
          <c:idx val="0"/>
          <c:order val="0"/>
          <c:tx>
            <c:v>Bid Ratio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en-SG"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'Strength 28'!$C$3:$AD$3</c:f>
              <c:strCache>
                <c:ptCount val="28"/>
                <c:pt idx="0">
                  <c:v>AUDCAD</c:v>
                </c:pt>
                <c:pt idx="1">
                  <c:v>AUDCHF</c:v>
                </c:pt>
                <c:pt idx="2">
                  <c:v>AUDJPY</c:v>
                </c:pt>
                <c:pt idx="3">
                  <c:v>AUDNZD</c:v>
                </c:pt>
                <c:pt idx="4">
                  <c:v>AUDUSD</c:v>
                </c:pt>
                <c:pt idx="5">
                  <c:v>CADCHF</c:v>
                </c:pt>
                <c:pt idx="6">
                  <c:v>CADJPY</c:v>
                </c:pt>
                <c:pt idx="7">
                  <c:v>CHFJPY</c:v>
                </c:pt>
                <c:pt idx="8">
                  <c:v>EURAUD</c:v>
                </c:pt>
                <c:pt idx="9">
                  <c:v>EURCAD</c:v>
                </c:pt>
                <c:pt idx="10">
                  <c:v>EURCHF</c:v>
                </c:pt>
                <c:pt idx="11">
                  <c:v>EURGBP</c:v>
                </c:pt>
                <c:pt idx="12">
                  <c:v>EURJPY</c:v>
                </c:pt>
                <c:pt idx="13">
                  <c:v>EURNZD</c:v>
                </c:pt>
                <c:pt idx="14">
                  <c:v>EURUSD</c:v>
                </c:pt>
                <c:pt idx="15">
                  <c:v>GBPAUD</c:v>
                </c:pt>
                <c:pt idx="16">
                  <c:v>GBPCAD</c:v>
                </c:pt>
                <c:pt idx="17">
                  <c:v>GBPCHF</c:v>
                </c:pt>
                <c:pt idx="18">
                  <c:v>GBPJPY</c:v>
                </c:pt>
                <c:pt idx="19">
                  <c:v>GBPNZD</c:v>
                </c:pt>
                <c:pt idx="20">
                  <c:v>GBPUSD</c:v>
                </c:pt>
                <c:pt idx="21">
                  <c:v>NZDCAD</c:v>
                </c:pt>
                <c:pt idx="22">
                  <c:v>NZDCHF</c:v>
                </c:pt>
                <c:pt idx="23">
                  <c:v>NZDJPY</c:v>
                </c:pt>
                <c:pt idx="24">
                  <c:v>NZDUSD</c:v>
                </c:pt>
                <c:pt idx="25">
                  <c:v>USDCAD</c:v>
                </c:pt>
                <c:pt idx="26">
                  <c:v>USDCHF</c:v>
                </c:pt>
                <c:pt idx="27">
                  <c:v>USDJPY</c:v>
                </c:pt>
              </c:strCache>
            </c:strRef>
          </c:cat>
          <c:val>
            <c:numRef>
              <c:f>'Strength 28'!$C$11:$AD$11</c:f>
              <c:numCache>
                <c:formatCode>0.00%</c:formatCode>
                <c:ptCount val="28"/>
                <c:pt idx="0">
                  <c:v>0.59880239520957956</c:v>
                </c:pt>
                <c:pt idx="1">
                  <c:v>0.51864406779661931</c:v>
                </c:pt>
                <c:pt idx="2">
                  <c:v>0.54590984974957613</c:v>
                </c:pt>
                <c:pt idx="3">
                  <c:v>0</c:v>
                </c:pt>
                <c:pt idx="4">
                  <c:v>0.57014388489208645</c:v>
                </c:pt>
                <c:pt idx="5">
                  <c:v>0.36760124610590089</c:v>
                </c:pt>
                <c:pt idx="6">
                  <c:v>0.60458452722061962</c:v>
                </c:pt>
                <c:pt idx="7">
                  <c:v>0.83595505617978771</c:v>
                </c:pt>
                <c:pt idx="8">
                  <c:v>0.58353708231457468</c:v>
                </c:pt>
                <c:pt idx="9">
                  <c:v>0.71266233766232689</c:v>
                </c:pt>
                <c:pt idx="10">
                  <c:v>0.5446808510638419</c:v>
                </c:pt>
                <c:pt idx="11">
                  <c:v>0.5238095238095144</c:v>
                </c:pt>
                <c:pt idx="12">
                  <c:v>0.80926430517712522</c:v>
                </c:pt>
                <c:pt idx="13">
                  <c:v>0.75089928057554556</c:v>
                </c:pt>
                <c:pt idx="14">
                  <c:v>0.86585365853658447</c:v>
                </c:pt>
                <c:pt idx="15">
                  <c:v>0.58971141781680958</c:v>
                </c:pt>
                <c:pt idx="16">
                  <c:v>0.76224611708483403</c:v>
                </c:pt>
                <c:pt idx="17">
                  <c:v>0.72466216216215529</c:v>
                </c:pt>
                <c:pt idx="18">
                  <c:v>0.79695431472080724</c:v>
                </c:pt>
                <c:pt idx="19">
                  <c:v>0</c:v>
                </c:pt>
                <c:pt idx="20">
                  <c:v>0.89979550102247541</c:v>
                </c:pt>
                <c:pt idx="21">
                  <c:v>0.55205047318611056</c:v>
                </c:pt>
                <c:pt idx="22">
                  <c:v>0.61641991924629291</c:v>
                </c:pt>
                <c:pt idx="23">
                  <c:v>0.55835962145110263</c:v>
                </c:pt>
                <c:pt idx="24">
                  <c:v>0.51214574898785503</c:v>
                </c:pt>
                <c:pt idx="25">
                  <c:v>0.34488188976379675</c:v>
                </c:pt>
                <c:pt idx="26">
                  <c:v>2.2988505747106879E-2</c:v>
                </c:pt>
                <c:pt idx="27">
                  <c:v>0.23076923076923495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DDA-49F3-922E-300FA635B1C7}"/>
            </c:ext>
          </c:extLst>
        </c:ser>
        <c:ser>
          <c:idx val="1"/>
          <c:order val="1"/>
          <c:tx>
            <c:v>PiP Range</c:v>
          </c:tx>
          <c:spPr>
            <a:ln w="25400">
              <a:solidFill>
                <a:srgbClr val="993300"/>
              </a:solidFill>
              <a:prstDash val="sysDash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en-SG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'Strength 28'!$C$3:$AD$3</c:f>
              <c:strCache>
                <c:ptCount val="28"/>
                <c:pt idx="0">
                  <c:v>AUDCAD</c:v>
                </c:pt>
                <c:pt idx="1">
                  <c:v>AUDCHF</c:v>
                </c:pt>
                <c:pt idx="2">
                  <c:v>AUDJPY</c:v>
                </c:pt>
                <c:pt idx="3">
                  <c:v>AUDNZD</c:v>
                </c:pt>
                <c:pt idx="4">
                  <c:v>AUDUSD</c:v>
                </c:pt>
                <c:pt idx="5">
                  <c:v>CADCHF</c:v>
                </c:pt>
                <c:pt idx="6">
                  <c:v>CADJPY</c:v>
                </c:pt>
                <c:pt idx="7">
                  <c:v>CHFJPY</c:v>
                </c:pt>
                <c:pt idx="8">
                  <c:v>EURAUD</c:v>
                </c:pt>
                <c:pt idx="9">
                  <c:v>EURCAD</c:v>
                </c:pt>
                <c:pt idx="10">
                  <c:v>EURCHF</c:v>
                </c:pt>
                <c:pt idx="11">
                  <c:v>EURGBP</c:v>
                </c:pt>
                <c:pt idx="12">
                  <c:v>EURJPY</c:v>
                </c:pt>
                <c:pt idx="13">
                  <c:v>EURNZD</c:v>
                </c:pt>
                <c:pt idx="14">
                  <c:v>EURUSD</c:v>
                </c:pt>
                <c:pt idx="15">
                  <c:v>GBPAUD</c:v>
                </c:pt>
                <c:pt idx="16">
                  <c:v>GBPCAD</c:v>
                </c:pt>
                <c:pt idx="17">
                  <c:v>GBPCHF</c:v>
                </c:pt>
                <c:pt idx="18">
                  <c:v>GBPJPY</c:v>
                </c:pt>
                <c:pt idx="19">
                  <c:v>GBPNZD</c:v>
                </c:pt>
                <c:pt idx="20">
                  <c:v>GBPUSD</c:v>
                </c:pt>
                <c:pt idx="21">
                  <c:v>NZDCAD</c:v>
                </c:pt>
                <c:pt idx="22">
                  <c:v>NZDCHF</c:v>
                </c:pt>
                <c:pt idx="23">
                  <c:v>NZDJPY</c:v>
                </c:pt>
                <c:pt idx="24">
                  <c:v>NZDUSD</c:v>
                </c:pt>
                <c:pt idx="25">
                  <c:v>USDCAD</c:v>
                </c:pt>
                <c:pt idx="26">
                  <c:v>USDCHF</c:v>
                </c:pt>
                <c:pt idx="27">
                  <c:v>USDJPY</c:v>
                </c:pt>
              </c:strCache>
            </c:strRef>
          </c:cat>
          <c:val>
            <c:numRef>
              <c:f>'Strength 28'!$C$10:$AD$10</c:f>
              <c:numCache>
                <c:formatCode>0</c:formatCode>
                <c:ptCount val="28"/>
                <c:pt idx="0">
                  <c:v>66.800000000000196</c:v>
                </c:pt>
                <c:pt idx="1">
                  <c:v>59.000000000000163</c:v>
                </c:pt>
                <c:pt idx="2">
                  <c:v>59.900000000000375</c:v>
                </c:pt>
                <c:pt idx="4">
                  <c:v>55.600000000000094</c:v>
                </c:pt>
                <c:pt idx="5">
                  <c:v>32.100000000000463</c:v>
                </c:pt>
                <c:pt idx="6">
                  <c:v>34.900000000000375</c:v>
                </c:pt>
                <c:pt idx="7">
                  <c:v>44.499999999999318</c:v>
                </c:pt>
                <c:pt idx="8">
                  <c:v>122.70000000000003</c:v>
                </c:pt>
                <c:pt idx="9">
                  <c:v>61.599999999999433</c:v>
                </c:pt>
                <c:pt idx="10">
                  <c:v>23.499999999998522</c:v>
                </c:pt>
                <c:pt idx="11">
                  <c:v>33.600000000000293</c:v>
                </c:pt>
                <c:pt idx="12">
                  <c:v>36.699999999999022</c:v>
                </c:pt>
                <c:pt idx="13">
                  <c:v>111.20000000000019</c:v>
                </c:pt>
                <c:pt idx="14">
                  <c:v>32.7999999999995</c:v>
                </c:pt>
                <c:pt idx="15">
                  <c:v>159.39999999999844</c:v>
                </c:pt>
                <c:pt idx="16">
                  <c:v>83.699999999999889</c:v>
                </c:pt>
                <c:pt idx="17">
                  <c:v>59.19999999999925</c:v>
                </c:pt>
                <c:pt idx="18">
                  <c:v>59.100000000000819</c:v>
                </c:pt>
                <c:pt idx="19">
                  <c:v>0</c:v>
                </c:pt>
                <c:pt idx="20">
                  <c:v>48.90000000000061</c:v>
                </c:pt>
                <c:pt idx="21">
                  <c:v>63.400000000000119</c:v>
                </c:pt>
                <c:pt idx="22">
                  <c:v>74.299999999999372</c:v>
                </c:pt>
                <c:pt idx="23">
                  <c:v>63.400000000000034</c:v>
                </c:pt>
                <c:pt idx="24">
                  <c:v>49.400000000000553</c:v>
                </c:pt>
                <c:pt idx="25">
                  <c:v>63.500000000000782</c:v>
                </c:pt>
                <c:pt idx="26">
                  <c:v>26.100000000000012</c:v>
                </c:pt>
                <c:pt idx="27">
                  <c:v>26.000000000000512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DDA-49F3-922E-300FA635B1C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3175">
              <a:solidFill>
                <a:srgbClr val="000000"/>
              </a:solidFill>
              <a:prstDash val="solid"/>
            </a:ln>
          </c:spPr>
        </c:dropLine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99CC00"/>
              </a:solidFill>
              <a:ln w="12700">
                <a:pattFill prst="pct75">
                  <a:fgClr>
                    <a:srgbClr val="000000"/>
                  </a:fgClr>
                  <a:bgClr>
                    <a:srgbClr val="FFFFFF"/>
                  </a:bgClr>
                </a:patt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28788736"/>
        <c:axId val="128794624"/>
      </c:lineChart>
      <c:catAx>
        <c:axId val="128788736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SG"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8794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8794624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one"/>
        <c:crossAx val="128788736"/>
        <c:crosses val="max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3" r="0.750000000000003" t="1" header="0.5" footer="0.5"/>
    <c:pageSetup orientation="landscape" horizontalDpi="-2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.75" right="0.75" top="1" bottom="1" header="0.5" footer="0.5"/>
  <pageSetup orientation="landscape" horizontalDpi="4294967294" verticalDpi="300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.25" bottom="1" header="0.5" footer="0.5"/>
  <pageSetup orientation="landscape" horizontalDpi="4294967294" verticalDpi="300" r:id="rId1"/>
  <headerFooter alignWithMargins="0">
    <oddHeader>&amp;Lwww.personalagent.com</oddHeader>
  </headerFooter>
  <drawing r:id="rId2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tomyeoman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jpeg"/><Relationship Id="rId5" Type="http://schemas.openxmlformats.org/officeDocument/2006/relationships/image" Target="../media/image7.emf"/><Relationship Id="rId4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</xdr:row>
      <xdr:rowOff>9525</xdr:rowOff>
    </xdr:from>
    <xdr:to>
      <xdr:col>8</xdr:col>
      <xdr:colOff>561975</xdr:colOff>
      <xdr:row>33</xdr:row>
      <xdr:rowOff>76200</xdr:rowOff>
    </xdr:to>
    <xdr:pic>
      <xdr:nvPicPr>
        <xdr:cNvPr id="3075" name="Picture 1">
          <a:extLst>
            <a:ext uri="{FF2B5EF4-FFF2-40B4-BE49-F238E27FC236}">
              <a16:creationId xmlns="" xmlns:a16="http://schemas.microsoft.com/office/drawing/2014/main" id="{00000000-0008-0000-00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" y="495300"/>
          <a:ext cx="5295900" cy="4924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8</xdr:col>
      <xdr:colOff>495300</xdr:colOff>
      <xdr:row>36</xdr:row>
      <xdr:rowOff>66675</xdr:rowOff>
    </xdr:to>
    <xdr:pic>
      <xdr:nvPicPr>
        <xdr:cNvPr id="3076" name="Picture 2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00000000-0008-0000-00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667375"/>
          <a:ext cx="53721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7785100" cy="4889500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5915025" cy="7343775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0.502</cdr:x>
      <cdr:y>0.49875</cdr:y>
    </cdr:from>
    <cdr:to>
      <cdr:x>0.53025</cdr:x>
      <cdr:y>0.52875</cdr:y>
    </cdr:to>
    <cdr:sp macro="" textlink="">
      <cdr:nvSpPr>
        <cdr:cNvPr id="614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08177" y="2608076"/>
          <a:ext cx="242442" cy="1568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200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76200</xdr:rowOff>
    </xdr:from>
    <xdr:to>
      <xdr:col>25</xdr:col>
      <xdr:colOff>542924</xdr:colOff>
      <xdr:row>28</xdr:row>
      <xdr:rowOff>123825</xdr:rowOff>
    </xdr:to>
    <xdr:graphicFrame macro="">
      <xdr:nvGraphicFramePr>
        <xdr:cNvPr id="6146" name="Chart 1">
          <a:extLst>
            <a:ext uri="{FF2B5EF4-FFF2-40B4-BE49-F238E27FC236}">
              <a16:creationId xmlns="" xmlns:a16="http://schemas.microsoft.com/office/drawing/2014/main" id="{00000000-0008-0000-0500-000002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7096125</xdr:colOff>
      <xdr:row>22</xdr:row>
      <xdr:rowOff>38100</xdr:rowOff>
    </xdr:to>
    <xdr:pic>
      <xdr:nvPicPr>
        <xdr:cNvPr id="2" name="Picture 6" descr="Excel CurrencyStrength sample.jpg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85775"/>
          <a:ext cx="8029575" cy="3114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4295775</xdr:colOff>
      <xdr:row>49</xdr:row>
      <xdr:rowOff>85725</xdr:rowOff>
    </xdr:to>
    <xdr:pic>
      <xdr:nvPicPr>
        <xdr:cNvPr id="3" name="Picture 5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5505450"/>
          <a:ext cx="4295775" cy="2514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3343275</xdr:colOff>
      <xdr:row>66</xdr:row>
      <xdr:rowOff>133350</xdr:rowOff>
    </xdr:to>
    <xdr:pic>
      <xdr:nvPicPr>
        <xdr:cNvPr id="4" name="Picture 6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9067800"/>
          <a:ext cx="3343275" cy="1752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6200775</xdr:colOff>
      <xdr:row>78</xdr:row>
      <xdr:rowOff>9525</xdr:rowOff>
    </xdr:to>
    <xdr:pic>
      <xdr:nvPicPr>
        <xdr:cNvPr id="5" name="Picture 7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1334750"/>
          <a:ext cx="6200775" cy="1304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4295775</xdr:colOff>
      <xdr:row>88</xdr:row>
      <xdr:rowOff>47625</xdr:rowOff>
    </xdr:to>
    <xdr:pic>
      <xdr:nvPicPr>
        <xdr:cNvPr id="6" name="Picture 8">
          <a:extLst>
            <a:ext uri="{FF2B5EF4-FFF2-40B4-BE49-F238E27FC236}">
              <a16:creationId xmlns=""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3115925"/>
          <a:ext cx="4295775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" ddeTopic="HIGH">
    <ddeItems>
      <ddeItem name="AUDCAD" advise="1">
        <values>
          <value>
            <val>0.88856999999999997</val>
          </value>
        </values>
      </ddeItem>
      <ddeItem name="AUDCHF" advise="1">
        <values>
          <value>
            <val>0.61480999999999997</val>
          </value>
        </values>
      </ddeItem>
      <ddeItem name="AUDJPY" advise="1">
        <values>
          <value>
            <val>69.028000000000006</val>
          </value>
        </values>
      </ddeItem>
      <ddeItem name="AUDNZD" advise="1">
        <values>
          <value>
            <val>1.0448200000000001</val>
          </value>
        </values>
      </ddeItem>
      <ddeItem name="AUDUSD" advise="1">
        <values>
          <value>
            <val>0.63675000000000004</val>
          </value>
        </values>
      </ddeItem>
      <ddeItem name="CADCHF" advise="1">
        <values>
          <value>
            <val>0.69254000000000004</val>
          </value>
        </values>
      </ddeItem>
      <ddeItem name="CADJPY" advise="1">
        <values>
          <value>
            <val>77.712000000000003</val>
          </value>
        </values>
      </ddeItem>
      <ddeItem name="CHFJPY" advise="1">
        <values>
          <value>
            <val>112.398</val>
          </value>
        </values>
      </ddeItem>
      <ddeItem name="EURAUD" advise="1">
        <values>
          <value>
            <val>1.7298800000000001</val>
          </value>
        </values>
      </ddeItem>
      <ddeItem name="EURCAD" advise="1">
        <values>
          <value>
            <val>1.53054</val>
          </value>
        </values>
      </ddeItem>
      <ddeItem name="EURCHF" advise="1">
        <values>
          <value>
            <val>1.0571999999999999</val>
          </value>
        </values>
      </ddeItem>
      <ddeItem name="EURGBP" advise="1">
        <values>
          <value>
            <val>0.87846000000000002</val>
          </value>
        </values>
      </ddeItem>
      <ddeItem name="EURJPY" advise="1">
        <values>
          <value>
            <val>118.72799999999999</val>
          </value>
        </values>
      </ddeItem>
      <ddeItem name="EURNZD" advise="1">
        <values>
          <value>
            <val>1.8028299999999999</val>
          </value>
        </values>
      </ddeItem>
      <ddeItem name="EURUSD" advise="1">
        <values>
          <value>
            <val>1.09518</val>
          </value>
        </values>
      </ddeItem>
      <ddeItem name="GBPAUD" advise="1">
        <values>
          <value>
            <val>1.9731399999999999</val>
          </value>
        </values>
      </ddeItem>
      <ddeItem name="GBPCAD" advise="1">
        <values>
          <value>
            <val>1.74512</val>
          </value>
        </values>
      </ddeItem>
      <ddeItem name="GBPCHF" advise="1">
        <values>
          <value>
            <val>1.20583</val>
          </value>
        </values>
      </ddeItem>
      <ddeItem name="GBPJPY" advise="1">
        <values>
          <value>
            <val>135.392</val>
          </value>
        </values>
      </ddeItem>
      <ddeItem name="GBPUSD" advise="1">
        <values>
          <value>
            <val>1.24865</val>
          </value>
        </values>
      </ddeItem>
      <ddeItem name="NZDCAD" advise="1">
        <values>
          <value>
            <val>0.85155000000000003</val>
          </value>
        </values>
      </ddeItem>
      <ddeItem name="NZDCHF" advise="1">
        <values>
          <value>
            <val>0.58906999999999998</val>
          </value>
        </values>
      </ddeItem>
      <ddeItem name="NZDJPY" advise="1">
        <values>
          <value>
            <val>66.152000000000001</val>
          </value>
        </values>
      </ddeItem>
      <ddeItem name="NZDUSD" advise="1">
        <values>
          <value>
            <val>0.61028000000000004</val>
          </value>
        </values>
      </ddeItem>
      <ddeItem name="StdDocumentName" ole="1" advise="1"/>
      <ddeItem name="USDCAD" advise="1">
        <values>
          <value>
            <val>1.40083</val>
          </value>
        </values>
      </ddeItem>
      <ddeItem name="USDCHF" advise="1">
        <values>
          <value>
            <val>0.96735000000000004</val>
          </value>
        </values>
      </ddeItem>
      <ddeItem name="USDJPY" advise="1">
        <values>
          <value>
            <val>108.587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" ddeTopic="ASK">
    <ddeItems>
      <ddeItem name="AUDCAD" advise="1">
        <values>
          <value>
            <val>0.88675000000000004</val>
          </value>
        </values>
      </ddeItem>
      <ddeItem name="AUDCHF" advise="1">
        <values>
          <value>
            <val>0.61246</val>
          </value>
        </values>
      </ddeItem>
      <ddeItem name="AUDJPY" advise="1">
        <values>
          <value>
            <val>68.796000000000006</val>
          </value>
        </values>
      </ddeItem>
      <ddeItem name="AUDNZD" advise="1">
        <values>
          <value>
            <val>1.0438499999999999</val>
          </value>
        </values>
      </ddeItem>
      <ddeItem name="AUDUSD" advise="1">
        <values>
          <value>
            <val>0.63466999999999996</val>
          </value>
        </values>
      </ddeItem>
      <ddeItem name="CADCHF" advise="1">
        <values>
          <value>
            <val>0.69096999999999997</val>
          </value>
        </values>
      </ddeItem>
      <ddeItem name="CADJPY" advise="1">
        <values>
          <value>
            <val>77.623000000000005</val>
          </value>
        </values>
      </ddeItem>
      <ddeItem name="CHFJPY" advise="1">
        <values>
          <value>
            <val>112.36</val>
          </value>
        </values>
      </ddeItem>
      <ddeItem name="EURAUD" advise="1">
        <values>
          <value>
            <val>1.7259599999999999</val>
          </value>
        </values>
      </ddeItem>
      <ddeItem name="EURCAD" advise="1">
        <values>
          <value>
            <val>1.52965</val>
          </value>
        </values>
      </ddeItem>
      <ddeItem name="EURCHF" advise="1">
        <values>
          <value>
            <val>1.05644</val>
          </value>
        </values>
      </ddeItem>
      <ddeItem name="EURGBP" advise="1">
        <values>
          <value>
            <val>0.87716000000000005</val>
          </value>
        </values>
      </ddeItem>
      <ddeItem name="EURJPY" advise="1">
        <values>
          <value>
            <val>118.681</val>
          </value>
        </values>
      </ddeItem>
      <ddeItem name="EURNZD" advise="1">
        <values>
          <value>
            <val>1.80172</val>
          </value>
        </values>
      </ddeItem>
      <ddeItem name="EURUSD" advise="1">
        <values>
          <value>
            <val>1.0948199999999999</val>
          </value>
        </values>
      </ddeItem>
      <ddeItem name="GBPAUD" advise="1">
        <values>
          <value>
            <val>1.9678100000000001</val>
          </value>
        </values>
      </ddeItem>
      <ddeItem name="GBPCAD" advise="1">
        <values>
          <value>
            <val>1.7440599999999999</val>
          </value>
        </values>
      </ddeItem>
      <ddeItem name="GBPCHF" advise="1">
        <values>
          <value>
            <val>1.2045999999999999</val>
          </value>
        </values>
      </ddeItem>
      <ddeItem name="GBPJPY" advise="1">
        <values>
          <value>
            <val>135.322</val>
          </value>
        </values>
      </ddeItem>
      <ddeItem name="GBPUSD" advise="1">
        <values>
          <value>
            <val>1.2484</val>
          </value>
        </values>
      </ddeItem>
      <ddeItem name="NZDCAD" advise="1">
        <values>
          <value>
            <val>0.84958</val>
          </value>
        </values>
      </ddeItem>
      <ddeItem name="NZDCHF" advise="1">
        <values>
          <value>
            <val>0.58686000000000005</val>
          </value>
        </values>
      </ddeItem>
      <ddeItem name="NZDJPY" advise="1">
        <values>
          <value>
            <val>65.91</val>
          </value>
        </values>
      </ddeItem>
      <ddeItem name="NZDUSD" advise="1">
        <values>
          <value>
            <val>0.60802</val>
          </value>
        </values>
      </ddeItem>
      <ddeItem name="StdDocumentName" ole="1" advise="1"/>
      <ddeItem name="USDCAD" advise="1">
        <values>
          <value>
            <val>1.3969100000000001</val>
          </value>
        </values>
      </ddeItem>
      <ddeItem name="USDCHF" advise="1">
        <values>
          <value>
            <val>0.96487999999999996</val>
          </value>
        </values>
      </ddeItem>
      <ddeItem name="USDJPY" advise="1">
        <values>
          <value>
            <val>108.396</val>
          </value>
        </values>
      </ddeItem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" ddeTopic="BID">
    <ddeItems>
      <ddeItem name="AUDCAD" advise="1">
        <values>
          <value>
            <val>0.88588999999999996</val>
          </value>
        </values>
      </ddeItem>
      <ddeItem name="AUDCHF" advise="1">
        <values>
          <value>
            <val>0.61197000000000001</val>
          </value>
        </values>
      </ddeItem>
      <ddeItem name="AUDJPY" advise="1">
        <values>
          <value>
            <val>68.756</val>
          </value>
        </values>
      </ddeItem>
      <ddeItem name="AUDNZD" advise="1">
        <values>
          <value>
            <val>1.0432600000000001</val>
          </value>
        </values>
      </ddeItem>
      <ddeItem name="AUDUSD" advise="1">
        <values>
          <value>
            <val>0.63436000000000003</val>
          </value>
        </values>
      </ddeItem>
      <ddeItem name="CADCHF" advise="1">
        <values>
          <value>
            <val>0.69050999999999996</val>
          </value>
        </values>
      </ddeItem>
      <ddeItem name="CADJPY" advise="1">
        <values>
          <value>
            <val>77.573999999999998</val>
          </value>
        </values>
      </ddeItem>
      <ddeItem name="CHFJPY" advise="1">
        <values>
          <value>
            <val>112.325</val>
          </value>
        </values>
      </ddeItem>
      <ddeItem name="EURAUD" advise="1">
        <values>
          <value>
            <val>1.7247699999999999</val>
          </value>
        </values>
      </ddeItem>
      <ddeItem name="EURCAD" advise="1">
        <values>
          <value>
            <val>1.52877</val>
          </value>
        </values>
      </ddeItem>
      <ddeItem name="EURCHF" advise="1">
        <values>
          <value>
            <val>1.05613</val>
          </value>
        </values>
      </ddeItem>
      <ddeItem name="EURGBP" advise="1">
        <values>
          <value>
            <val>0.87685999999999997</val>
          </value>
        </values>
      </ddeItem>
      <ddeItem name="EURJPY" advise="1">
        <values>
          <value>
            <val>118.658</val>
          </value>
        </values>
      </ddeItem>
      <ddeItem name="EURNZD" advise="1">
        <values>
          <value>
            <val>1.80006</val>
          </value>
        </values>
      </ddeItem>
      <ddeItem name="EURUSD" advise="1">
        <values>
          <value>
            <val>1.09474</val>
          </value>
        </values>
      </ddeItem>
      <ddeItem name="GBPAUD" advise="1">
        <values>
          <value>
            <val>1.9665999999999999</val>
          </value>
        </values>
      </ddeItem>
      <ddeItem name="GBPCAD" advise="1">
        <values>
          <value>
            <val>1.7431300000000001</val>
          </value>
        </values>
      </ddeItem>
      <ddeItem name="GBPCHF" advise="1">
        <values>
          <value>
            <val>1.2041999999999999</val>
          </value>
        </values>
      </ddeItem>
      <ddeItem name="GBPJPY" advise="1">
        <values>
          <value>
            <val>135.27199999999999</val>
          </value>
        </values>
      </ddeItem>
      <ddeItem name="GBPUSD" advise="1">
        <values>
          <value>
            <val>1.2481599999999999</val>
          </value>
        </values>
      </ddeItem>
      <ddeItem name="NZDCAD" advise="1">
        <values>
          <value>
            <val>0.84870999999999996</val>
          </value>
        </values>
      </ddeItem>
      <ddeItem name="NZDCHF" advise="1">
        <values>
          <value>
            <val>0.58621999999999996</val>
          </value>
        </values>
      </ddeItem>
      <ddeItem name="NZDJPY" advise="1">
        <values>
          <value>
            <val>65.872</val>
          </value>
        </values>
      </ddeItem>
      <ddeItem name="NZDUSD" advise="1">
        <values>
          <value>
            <val>0.60787000000000002</val>
          </value>
        </values>
      </ddeItem>
      <ddeItem name="StdDocumentName" ole="1" advise="1"/>
      <ddeItem name="USDCAD" advise="1">
        <values>
          <value>
            <val>1.3966700000000001</val>
          </value>
        </values>
      </ddeItem>
      <ddeItem name="USDCHF" advise="1">
        <values>
          <value>
            <val>0.96479999999999999</val>
          </value>
        </values>
      </ddeItem>
      <ddeItem name="USDJPY" advise="1">
        <values>
          <value>
            <val>108.387</val>
          </value>
        </values>
      </ddeItem>
    </ddeItems>
  </dd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" ddeTopic="LOW">
    <ddeItems>
      <ddeItem name="AUDCAD" advise="1">
        <values>
          <value>
            <val>0.88188999999999995</val>
          </value>
        </values>
      </ddeItem>
      <ddeItem name="AUDCHF" advise="1">
        <values>
          <value>
            <val>0.60890999999999995</val>
          </value>
        </values>
      </ddeItem>
      <ddeItem name="AUDJPY" advise="1">
        <values>
          <value>
            <val>68.429000000000002</val>
          </value>
        </values>
      </ddeItem>
      <ddeItem name="AUDNZD" advise="1">
        <values>
          <value>
            <val>1.0402</val>
          </value>
        </values>
      </ddeItem>
      <ddeItem name="AUDUSD" advise="1">
        <values>
          <value>
            <val>0.63119000000000003</val>
          </value>
        </values>
      </ddeItem>
      <ddeItem name="CADCHF" advise="1">
        <values>
          <value>
            <val>0.68933</val>
          </value>
        </values>
      </ddeItem>
      <ddeItem name="CADJPY" advise="1">
        <values>
          <value>
            <val>77.363</val>
          </value>
        </values>
      </ddeItem>
      <ddeItem name="CHFJPY" advise="1">
        <values>
          <value>
            <val>111.953</val>
          </value>
        </values>
      </ddeItem>
      <ddeItem name="EURAUD" advise="1">
        <values>
          <value>
            <val>1.7176100000000001</val>
          </value>
        </values>
      </ddeItem>
      <ddeItem name="EURCAD" advise="1">
        <values>
          <value>
            <val>1.5243800000000001</val>
          </value>
        </values>
      </ddeItem>
      <ddeItem name="EURCHF" advise="1">
        <values>
          <value>
            <val>1.0548500000000001</val>
          </value>
        </values>
      </ddeItem>
      <ddeItem name="EURGBP" advise="1">
        <values>
          <value>
            <val>0.87509999999999999</val>
          </value>
        </values>
      </ddeItem>
      <ddeItem name="EURJPY" advise="1">
        <values>
          <value>
            <val>118.361</val>
          </value>
        </values>
      </ddeItem>
      <ddeItem name="EURNZD" advise="1">
        <values>
          <value>
            <val>1.7917099999999999</val>
          </value>
        </values>
      </ddeItem>
      <ddeItem name="EURUSD" advise="1">
        <values>
          <value>
            <val>1.0919000000000001</val>
          </value>
        </values>
      </ddeItem>
      <ddeItem name="GBPAUD" advise="1">
        <values>
          <value>
            <val>1.9572000000000001</val>
          </value>
        </values>
      </ddeItem>
      <ddeItem name="GBPCAD" advise="1">
        <values>
          <value>
            <val>1.73675</val>
          </value>
        </values>
      </ddeItem>
      <ddeItem name="GBPCHF" advise="1">
        <values>
          <value>
            <val>1.19991</val>
          </value>
        </values>
      </ddeItem>
      <ddeItem name="GBPJPY" advise="1">
        <values>
          <value>
            <val>134.80099999999999</val>
          </value>
        </values>
      </ddeItem>
      <ddeItem name="GBPUSD" advise="1">
        <values>
          <value>
            <val>1.24376</val>
          </value>
        </values>
      </ddeItem>
      <ddeItem name="NZDCAD" advise="1">
        <values>
          <value>
            <val>0.84521000000000002</val>
          </value>
        </values>
      </ddeItem>
      <ddeItem name="NZDCHF" advise="1">
        <values>
          <value>
            <val>0.58164000000000005</val>
          </value>
        </values>
      </ddeItem>
      <ddeItem name="NZDJPY" advise="1">
        <values>
          <value>
            <val>65.518000000000001</val>
          </value>
        </values>
      </ddeItem>
      <ddeItem name="NZDUSD" advise="1">
        <values>
          <value>
            <val>0.60533999999999999</val>
          </value>
        </values>
      </ddeItem>
      <ddeItem name="StdDocumentName" ole="1" advise="1"/>
      <ddeItem name="USDCAD" advise="1">
        <values>
          <value>
            <val>1.3944799999999999</val>
          </value>
        </values>
      </ddeItem>
      <ddeItem name="USDCHF" advise="1">
        <values>
          <value>
            <val>0.96474000000000004</val>
          </value>
        </values>
      </ddeItem>
      <ddeItem name="USDJPY" advise="1">
        <values>
          <value>
            <val>108.327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" sqref="I2"/>
    </sheetView>
  </sheetViews>
  <sheetFormatPr defaultRowHeight="13.2" x14ac:dyDescent="0.25"/>
  <sheetData/>
  <phoneticPr fontId="0" type="noConversion"/>
  <pageMargins left="0.75" right="0.75" top="1" bottom="1" header="0.5" footer="0.5"/>
  <pageSetup orientation="portrait" horizontalDpi="4294967294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ntry="1"/>
  <dimension ref="B1:W42"/>
  <sheetViews>
    <sheetView showGridLines="0" topLeftCell="S1" workbookViewId="0">
      <selection activeCell="Z18" sqref="Z18"/>
    </sheetView>
  </sheetViews>
  <sheetFormatPr defaultRowHeight="13.2" x14ac:dyDescent="0.25"/>
  <cols>
    <col min="1" max="1" width="2.88671875" customWidth="1"/>
    <col min="2" max="2" width="9.6640625" customWidth="1"/>
    <col min="3" max="14" width="9.6640625" style="1" customWidth="1"/>
    <col min="15" max="15" width="3.6640625" customWidth="1"/>
    <col min="16" max="17" width="3.6640625" style="2" customWidth="1"/>
    <col min="18" max="18" width="3.6640625" customWidth="1"/>
    <col min="19" max="20" width="8.6640625" customWidth="1"/>
    <col min="21" max="23" width="5.6640625" customWidth="1"/>
  </cols>
  <sheetData>
    <row r="1" spans="2:23" ht="12.75" customHeight="1" thickBot="1" x14ac:dyDescent="0.3">
      <c r="B1" s="53" t="s">
        <v>36</v>
      </c>
      <c r="C1" s="56">
        <f>CORREL(C5:C7,D5:D7)</f>
        <v>0.99976021207945986</v>
      </c>
      <c r="D1" s="55">
        <f>CORREL(C4:C6, D4:D6)</f>
        <v>0.94265020175388559</v>
      </c>
      <c r="E1" s="59"/>
      <c r="G1" s="57">
        <f>CORREL(G4:G6, C4:C6)</f>
        <v>0.98966307900982486</v>
      </c>
      <c r="H1" s="54">
        <f>CORREL(C4:C6, H4:H6)</f>
        <v>0.9927964418053663</v>
      </c>
      <c r="I1" s="59"/>
      <c r="M1" s="59"/>
      <c r="O1" s="53"/>
    </row>
    <row r="2" spans="2:23" ht="12.75" customHeight="1" thickBot="1" x14ac:dyDescent="0.3">
      <c r="C2" s="1" t="s">
        <v>35</v>
      </c>
      <c r="D2" s="1" t="s">
        <v>34</v>
      </c>
      <c r="E2" s="59"/>
      <c r="G2" s="1" t="s">
        <v>37</v>
      </c>
      <c r="H2" s="1" t="s">
        <v>33</v>
      </c>
      <c r="I2" s="59"/>
      <c r="M2" s="59"/>
      <c r="S2" s="179" t="s">
        <v>76</v>
      </c>
      <c r="T2" s="178" t="s">
        <v>38</v>
      </c>
      <c r="U2" s="153" t="s">
        <v>78</v>
      </c>
      <c r="V2" s="154" t="s">
        <v>79</v>
      </c>
      <c r="W2" s="149" t="s">
        <v>77</v>
      </c>
    </row>
    <row r="3" spans="2:23" ht="12.75" customHeight="1" thickBot="1" x14ac:dyDescent="0.3">
      <c r="C3" s="3" t="s">
        <v>14</v>
      </c>
      <c r="D3" s="4" t="s">
        <v>15</v>
      </c>
      <c r="E3" s="4" t="s">
        <v>3</v>
      </c>
      <c r="F3" s="4" t="s">
        <v>16</v>
      </c>
      <c r="G3" s="4" t="s">
        <v>11</v>
      </c>
      <c r="H3" s="4" t="s">
        <v>17</v>
      </c>
      <c r="I3" s="4" t="s">
        <v>18</v>
      </c>
      <c r="J3" s="4" t="s">
        <v>19</v>
      </c>
      <c r="K3" s="4" t="s">
        <v>13</v>
      </c>
      <c r="L3" s="4" t="s">
        <v>20</v>
      </c>
      <c r="M3" s="4" t="s">
        <v>8</v>
      </c>
      <c r="N3" s="5" t="s">
        <v>10</v>
      </c>
      <c r="O3" s="64"/>
      <c r="P3" s="63"/>
      <c r="Q3" s="63"/>
      <c r="S3" s="156"/>
      <c r="T3" s="172" t="s">
        <v>46</v>
      </c>
      <c r="U3" s="162">
        <f>HLOOKUP(LEFT(T3,3),$D$18:$K$19,2,FALSE)</f>
        <v>4.5</v>
      </c>
      <c r="V3" s="163">
        <f>HLOOKUP(RIGHT(T3,3),$D$18:$K$19,2,FALSE)</f>
        <v>6</v>
      </c>
      <c r="W3" s="159">
        <f>U3-V3</f>
        <v>-1.5</v>
      </c>
    </row>
    <row r="4" spans="2:23" ht="12.75" customHeight="1" thickBot="1" x14ac:dyDescent="0.3">
      <c r="B4" s="6" t="s">
        <v>6</v>
      </c>
      <c r="C4" s="7">
        <f>[1]!EURUSD</f>
        <v>1.09518</v>
      </c>
      <c r="D4" s="8">
        <f>[1]!GBPUSD</f>
        <v>1.24865</v>
      </c>
      <c r="E4" s="8">
        <f>[1]!AUDUSD</f>
        <v>0.63675000000000004</v>
      </c>
      <c r="F4" s="8">
        <f>[1]!USDJPY</f>
        <v>108.587</v>
      </c>
      <c r="G4" s="8">
        <f>[1]!USDCHF</f>
        <v>0.96735000000000004</v>
      </c>
      <c r="H4" s="8">
        <f>[1]!USDCAD</f>
        <v>1.40083</v>
      </c>
      <c r="I4" s="8">
        <f>[1]!EURJPY</f>
        <v>118.72799999999999</v>
      </c>
      <c r="J4" s="8">
        <f>[1]!EURGBP</f>
        <v>0.87846000000000002</v>
      </c>
      <c r="K4" s="8">
        <f>[1]!EURCHF</f>
        <v>1.0571999999999999</v>
      </c>
      <c r="L4" s="8">
        <f>[1]!EURAUD</f>
        <v>1.7298800000000001</v>
      </c>
      <c r="M4" s="8">
        <f>[1]!GBPJPY</f>
        <v>135.392</v>
      </c>
      <c r="N4" s="9">
        <f>[1]!GBPCHF</f>
        <v>1.20583</v>
      </c>
      <c r="O4" s="65"/>
      <c r="P4" s="63"/>
      <c r="Q4" s="63"/>
      <c r="S4" s="156"/>
      <c r="T4" s="173" t="s">
        <v>71</v>
      </c>
      <c r="U4" s="162">
        <f t="shared" ref="U4:U11" si="0">HLOOKUP(LEFT(T4,3),$D$18:$K$19,2,FALSE)</f>
        <v>4.5</v>
      </c>
      <c r="V4" s="163">
        <f t="shared" ref="V4:V11" si="1">HLOOKUP(RIGHT(T4,3),$D$18:$K$19,2,FALSE)</f>
        <v>5.333333333333333</v>
      </c>
      <c r="W4" s="160">
        <f t="shared" ref="W4:W11" si="2">U4-V4</f>
        <v>-0.83333333333333304</v>
      </c>
    </row>
    <row r="5" spans="2:23" ht="12.75" customHeight="1" thickBot="1" x14ac:dyDescent="0.3">
      <c r="B5" s="10" t="s">
        <v>5</v>
      </c>
      <c r="C5" s="11">
        <f>[2]!EURUSD</f>
        <v>1.0948199999999999</v>
      </c>
      <c r="D5" s="12">
        <f>[2]!GBPUSD</f>
        <v>1.2484</v>
      </c>
      <c r="E5" s="12">
        <f>[2]!AUDUSD</f>
        <v>0.63466999999999996</v>
      </c>
      <c r="F5" s="12">
        <f>[2]!USDJPY</f>
        <v>108.396</v>
      </c>
      <c r="G5" s="12">
        <f>[2]!USDCHF</f>
        <v>0.96487999999999996</v>
      </c>
      <c r="H5" s="12">
        <f>[2]!USDCAD</f>
        <v>1.3969100000000001</v>
      </c>
      <c r="I5" s="12">
        <f>[2]!EURJPY</f>
        <v>118.681</v>
      </c>
      <c r="J5" s="12">
        <f>[2]!EURGBP</f>
        <v>0.87716000000000005</v>
      </c>
      <c r="K5" s="12">
        <f>[2]!EURCHF</f>
        <v>1.05644</v>
      </c>
      <c r="L5" s="12">
        <f>[2]!EURAUD</f>
        <v>1.7259599999999999</v>
      </c>
      <c r="M5" s="12">
        <f>[2]!GBPJPY</f>
        <v>135.322</v>
      </c>
      <c r="N5" s="13">
        <f>[2]!GBPCHF</f>
        <v>1.2045999999999999</v>
      </c>
      <c r="O5" s="65"/>
      <c r="P5" s="63">
        <v>0</v>
      </c>
      <c r="Q5" s="63">
        <v>0</v>
      </c>
      <c r="S5" s="156">
        <f>$E$8</f>
        <v>3.0999999999992145</v>
      </c>
      <c r="T5" s="174" t="s">
        <v>3</v>
      </c>
      <c r="U5" s="162">
        <f t="shared" si="0"/>
        <v>4.5</v>
      </c>
      <c r="V5" s="163">
        <f t="shared" si="1"/>
        <v>2.1666666666666665</v>
      </c>
      <c r="W5" s="159">
        <f t="shared" si="2"/>
        <v>2.3333333333333335</v>
      </c>
    </row>
    <row r="6" spans="2:23" ht="12.75" customHeight="1" thickBot="1" x14ac:dyDescent="0.3">
      <c r="B6" s="10" t="s">
        <v>4</v>
      </c>
      <c r="C6" s="11">
        <f>[3]!EURUSD</f>
        <v>1.09474</v>
      </c>
      <c r="D6" s="12">
        <f>[3]!GBPUSD</f>
        <v>1.2481599999999999</v>
      </c>
      <c r="E6" s="12">
        <f>[3]!AUDUSD</f>
        <v>0.63436000000000003</v>
      </c>
      <c r="F6" s="12">
        <f>[3]!USDJPY</f>
        <v>108.387</v>
      </c>
      <c r="G6" s="12">
        <f>[3]!USDCHF</f>
        <v>0.96479999999999999</v>
      </c>
      <c r="H6" s="12">
        <f>[3]!USDCAD</f>
        <v>1.3966700000000001</v>
      </c>
      <c r="I6" s="12">
        <f>[3]!EURJPY</f>
        <v>118.658</v>
      </c>
      <c r="J6" s="12">
        <f>[3]!EURGBP</f>
        <v>0.87685999999999997</v>
      </c>
      <c r="K6" s="12">
        <f>[3]!EURCHF</f>
        <v>1.05613</v>
      </c>
      <c r="L6" s="12">
        <f>[3]!EURAUD</f>
        <v>1.7247699999999999</v>
      </c>
      <c r="M6" s="12">
        <f>[3]!GBPJPY</f>
        <v>135.27199999999999</v>
      </c>
      <c r="N6" s="13">
        <f>[3]!GBPCHF</f>
        <v>1.2041999999999999</v>
      </c>
      <c r="O6" s="65"/>
      <c r="P6" s="63">
        <v>3</v>
      </c>
      <c r="Q6" s="63">
        <v>1</v>
      </c>
      <c r="S6" s="156"/>
      <c r="T6" s="175" t="s">
        <v>39</v>
      </c>
      <c r="U6" s="162">
        <f t="shared" si="0"/>
        <v>4.5</v>
      </c>
      <c r="V6" s="163">
        <f t="shared" si="1"/>
        <v>3.6666666666666665</v>
      </c>
      <c r="W6" s="160">
        <f t="shared" si="2"/>
        <v>0.83333333333333348</v>
      </c>
    </row>
    <row r="7" spans="2:23" ht="12.75" customHeight="1" thickBot="1" x14ac:dyDescent="0.3">
      <c r="B7" s="14" t="s">
        <v>7</v>
      </c>
      <c r="C7" s="15">
        <f>[4]!EURUSD</f>
        <v>1.0919000000000001</v>
      </c>
      <c r="D7" s="16">
        <f>[4]!GBPUSD</f>
        <v>1.24376</v>
      </c>
      <c r="E7" s="16">
        <f>[4]!AUDUSD</f>
        <v>0.63119000000000003</v>
      </c>
      <c r="F7" s="16">
        <f>[4]!USDJPY</f>
        <v>108.327</v>
      </c>
      <c r="G7" s="16">
        <f>[4]!USDCHF</f>
        <v>0.96474000000000004</v>
      </c>
      <c r="H7" s="16">
        <f>[4]!USDCAD</f>
        <v>1.3944799999999999</v>
      </c>
      <c r="I7" s="16">
        <f>[4]!EURJPY</f>
        <v>118.361</v>
      </c>
      <c r="J7" s="16">
        <f>[4]!EURGBP</f>
        <v>0.87509999999999999</v>
      </c>
      <c r="K7" s="16">
        <f>[4]!EURCHF</f>
        <v>1.0548500000000001</v>
      </c>
      <c r="L7" s="16">
        <f>[4]!EURAUD</f>
        <v>1.7176100000000001</v>
      </c>
      <c r="M7" s="16">
        <f>[4]!GBPJPY</f>
        <v>134.80099999999999</v>
      </c>
      <c r="N7" s="17">
        <f>[4]!GBPCHF</f>
        <v>1.19991</v>
      </c>
      <c r="O7" s="65"/>
      <c r="P7" s="63">
        <v>10</v>
      </c>
      <c r="Q7" s="63">
        <v>2</v>
      </c>
      <c r="S7" s="156"/>
      <c r="T7" s="174" t="s">
        <v>40</v>
      </c>
      <c r="U7" s="162">
        <f t="shared" si="0"/>
        <v>6</v>
      </c>
      <c r="V7" s="163">
        <f t="shared" si="1"/>
        <v>5.333333333333333</v>
      </c>
      <c r="W7" s="159">
        <f t="shared" si="2"/>
        <v>0.66666666666666696</v>
      </c>
    </row>
    <row r="8" spans="2:23" ht="12.75" customHeight="1" thickBot="1" x14ac:dyDescent="0.3">
      <c r="B8" s="152" t="s">
        <v>76</v>
      </c>
      <c r="C8" s="170">
        <f>(C5-C6)*10000</f>
        <v>0.79999999999857963</v>
      </c>
      <c r="D8" s="155">
        <f t="shared" ref="D8:N8" si="3">(D5-D6)*10000</f>
        <v>2.4000000000001798</v>
      </c>
      <c r="E8" s="155">
        <f t="shared" si="3"/>
        <v>3.0999999999992145</v>
      </c>
      <c r="F8" s="155">
        <f>(F5-F6)*100</f>
        <v>0.90000000000003411</v>
      </c>
      <c r="G8" s="155">
        <f t="shared" si="3"/>
        <v>0.79999999999968985</v>
      </c>
      <c r="H8" s="155">
        <f t="shared" si="3"/>
        <v>2.4000000000001798</v>
      </c>
      <c r="I8" s="155">
        <f>(I5-I6)*100</f>
        <v>2.2999999999996135</v>
      </c>
      <c r="J8" s="155">
        <f t="shared" si="3"/>
        <v>3.0000000000007798</v>
      </c>
      <c r="K8" s="155">
        <f t="shared" si="3"/>
        <v>3.1000000000003247</v>
      </c>
      <c r="L8" s="155">
        <f t="shared" si="3"/>
        <v>11.900000000000244</v>
      </c>
      <c r="M8" s="155">
        <f>(M5-M6)*100</f>
        <v>5.0000000000011369</v>
      </c>
      <c r="N8" s="171">
        <f t="shared" si="3"/>
        <v>3.9999999999995595</v>
      </c>
      <c r="O8" s="65"/>
      <c r="P8" s="63">
        <v>25</v>
      </c>
      <c r="Q8" s="63">
        <v>3</v>
      </c>
      <c r="S8" s="156"/>
      <c r="T8" s="175" t="s">
        <v>41</v>
      </c>
      <c r="U8" s="162">
        <f t="shared" si="0"/>
        <v>6</v>
      </c>
      <c r="V8" s="163">
        <f t="shared" si="1"/>
        <v>3.6666666666666665</v>
      </c>
      <c r="W8" s="160">
        <f t="shared" si="2"/>
        <v>2.3333333333333335</v>
      </c>
    </row>
    <row r="9" spans="2:23" ht="12.75" customHeight="1" thickBot="1" x14ac:dyDescent="0.3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P9" s="63">
        <v>40</v>
      </c>
      <c r="Q9" s="63">
        <v>4</v>
      </c>
      <c r="S9" s="156"/>
      <c r="T9" s="174" t="s">
        <v>42</v>
      </c>
      <c r="U9" s="162">
        <f t="shared" si="0"/>
        <v>5.333333333333333</v>
      </c>
      <c r="V9" s="163">
        <f t="shared" si="1"/>
        <v>3.6666666666666665</v>
      </c>
      <c r="W9" s="159">
        <f t="shared" si="2"/>
        <v>1.6666666666666665</v>
      </c>
    </row>
    <row r="10" spans="2:23" ht="12.75" customHeight="1" thickBot="1" x14ac:dyDescent="0.3">
      <c r="B10" s="6" t="s">
        <v>21</v>
      </c>
      <c r="C10" s="20">
        <f>(C4:N4-C7:N7)*10000</f>
        <v>32.7999999999995</v>
      </c>
      <c r="D10" s="21">
        <f>(C4:N4-C7:N7)*10000</f>
        <v>48.90000000000061</v>
      </c>
      <c r="E10" s="21">
        <f>(C4:N4-C7:N7)*10000</f>
        <v>55.600000000000094</v>
      </c>
      <c r="F10" s="21">
        <f>(C4:N4-C7:N7)*100</f>
        <v>26.000000000000512</v>
      </c>
      <c r="G10" s="21">
        <f>(C4:N4-C7:N7)*10000</f>
        <v>26.100000000000012</v>
      </c>
      <c r="H10" s="21">
        <f>(C4:N4-C7:N7)*10000</f>
        <v>63.500000000000782</v>
      </c>
      <c r="I10" s="21">
        <f>(C4:N4-C7:N7)*100</f>
        <v>36.699999999999022</v>
      </c>
      <c r="J10" s="21">
        <f>(C4:N4-C7:N7)*10000</f>
        <v>33.600000000000293</v>
      </c>
      <c r="K10" s="21">
        <f>(C4:N4-C7:N7)*10000</f>
        <v>23.499999999998522</v>
      </c>
      <c r="L10" s="21">
        <f>(C4:N4-C7:N7)*10000</f>
        <v>122.70000000000003</v>
      </c>
      <c r="M10" s="21">
        <f>(C4:N4-C7:N7)*100</f>
        <v>59.100000000000819</v>
      </c>
      <c r="N10" s="22">
        <f>(C4:N4-C7:N7)*10000</f>
        <v>59.19999999999925</v>
      </c>
      <c r="P10" s="63">
        <v>50</v>
      </c>
      <c r="Q10" s="63">
        <v>5</v>
      </c>
      <c r="S10" s="156">
        <f>$L$8</f>
        <v>11.900000000000244</v>
      </c>
      <c r="T10" s="175" t="s">
        <v>20</v>
      </c>
      <c r="U10" s="162">
        <f t="shared" ref="U10" si="4">HLOOKUP(LEFT(T10,3),$D$18:$K$19,2,FALSE)</f>
        <v>5.8</v>
      </c>
      <c r="V10" s="163">
        <f t="shared" ref="V10" si="5">HLOOKUP(RIGHT(T10,3),$D$18:$K$19,2,FALSE)</f>
        <v>4.5</v>
      </c>
      <c r="W10" s="160">
        <f t="shared" ref="W10" si="6">U10-V10</f>
        <v>1.2999999999999998</v>
      </c>
    </row>
    <row r="11" spans="2:23" ht="12.75" customHeight="1" thickBot="1" x14ac:dyDescent="0.3">
      <c r="B11" s="14" t="s">
        <v>22</v>
      </c>
      <c r="C11" s="23">
        <f>(C6:N6-C7:N7)/C10:N10*10000</f>
        <v>0.86585365853658447</v>
      </c>
      <c r="D11" s="24">
        <f>(C6:N6-C7:N7)/C10:N10*10000</f>
        <v>0.89979550102247541</v>
      </c>
      <c r="E11" s="24">
        <f>(C6:N6-C7:N7)/C10:N10*10000</f>
        <v>0.57014388489208645</v>
      </c>
      <c r="F11" s="24">
        <f>(C6:N6-C7:N7)/C10:N10*100</f>
        <v>0.23076923076923495</v>
      </c>
      <c r="G11" s="24">
        <f>(C6:N6-C7:N7)/C10:N10*10000</f>
        <v>2.2988505747106879E-2</v>
      </c>
      <c r="H11" s="24">
        <f>(C6:N6-C7:N7)/C10:N10*10000</f>
        <v>0.34488188976379675</v>
      </c>
      <c r="I11" s="24">
        <f>(C6:N6-C7:N7)/C10:N10*100</f>
        <v>0.80926430517712522</v>
      </c>
      <c r="J11" s="24">
        <f>(C6:N6-C7:N7)/C10:N10*10000</f>
        <v>0.5238095238095144</v>
      </c>
      <c r="K11" s="24">
        <f>(C6:N6-C7:N7)/C10:N10*10000</f>
        <v>0.5446808510638419</v>
      </c>
      <c r="L11" s="24">
        <f>(C6:N6-C7:N7)/C10:N10*10000</f>
        <v>0.58353708231457468</v>
      </c>
      <c r="M11" s="24">
        <f>(C6:N6-C7:N7)/C10:N10*100</f>
        <v>0.79695431472080724</v>
      </c>
      <c r="N11" s="25">
        <f>(C6:N6-C7:N7)/C10:N10*10000</f>
        <v>0.72466216216215529</v>
      </c>
      <c r="P11" s="63">
        <v>60</v>
      </c>
      <c r="Q11" s="63">
        <v>6</v>
      </c>
      <c r="S11" s="156"/>
      <c r="T11" s="174" t="s">
        <v>43</v>
      </c>
      <c r="U11" s="162">
        <f t="shared" si="0"/>
        <v>5.8</v>
      </c>
      <c r="V11" s="163">
        <f t="shared" si="1"/>
        <v>6</v>
      </c>
      <c r="W11" s="160">
        <f t="shared" si="2"/>
        <v>-0.20000000000000018</v>
      </c>
    </row>
    <row r="12" spans="2:23" ht="12.75" customHeight="1" thickBot="1" x14ac:dyDescent="0.3">
      <c r="P12" s="63">
        <v>75</v>
      </c>
      <c r="Q12" s="63">
        <v>7</v>
      </c>
      <c r="S12" s="156">
        <f>$K$8</f>
        <v>3.1000000000003247</v>
      </c>
      <c r="T12" s="175" t="s">
        <v>13</v>
      </c>
      <c r="U12" s="162">
        <f t="shared" ref="U12:U14" si="7">HLOOKUP(LEFT(T12,3),$D$18:$K$19,2,FALSE)</f>
        <v>5.8</v>
      </c>
      <c r="V12" s="163">
        <f t="shared" ref="V12:V14" si="8">HLOOKUP(RIGHT(T12,3),$D$18:$K$19,2,FALSE)</f>
        <v>5.333333333333333</v>
      </c>
      <c r="W12" s="159">
        <f t="shared" ref="W12:W14" si="9">U12-V12</f>
        <v>0.46666666666666679</v>
      </c>
    </row>
    <row r="13" spans="2:23" ht="12.75" customHeight="1" thickBot="1" x14ac:dyDescent="0.3">
      <c r="B13" s="26" t="s">
        <v>23</v>
      </c>
      <c r="C13" s="27" t="s">
        <v>24</v>
      </c>
      <c r="D13" s="28" t="s">
        <v>9</v>
      </c>
      <c r="E13" s="28" t="s">
        <v>25</v>
      </c>
      <c r="F13" s="28" t="s">
        <v>26</v>
      </c>
      <c r="G13" s="28" t="s">
        <v>26</v>
      </c>
      <c r="H13" s="28" t="s">
        <v>26</v>
      </c>
      <c r="I13" s="28" t="s">
        <v>24</v>
      </c>
      <c r="J13" s="28" t="s">
        <v>24</v>
      </c>
      <c r="K13" s="28" t="s">
        <v>24</v>
      </c>
      <c r="L13" s="28" t="s">
        <v>24</v>
      </c>
      <c r="M13" s="28" t="s">
        <v>9</v>
      </c>
      <c r="N13" s="29" t="s">
        <v>9</v>
      </c>
      <c r="P13" s="63">
        <v>90</v>
      </c>
      <c r="Q13" s="63">
        <v>8</v>
      </c>
      <c r="S13" s="156">
        <f>$J$8</f>
        <v>3.0000000000007798</v>
      </c>
      <c r="T13" s="174" t="s">
        <v>19</v>
      </c>
      <c r="U13" s="162">
        <f t="shared" si="7"/>
        <v>5.8</v>
      </c>
      <c r="V13" s="163">
        <f t="shared" si="8"/>
        <v>6</v>
      </c>
      <c r="W13" s="160">
        <f t="shared" si="9"/>
        <v>-0.20000000000000018</v>
      </c>
    </row>
    <row r="14" spans="2:23" ht="12.75" customHeight="1" thickBot="1" x14ac:dyDescent="0.3">
      <c r="B14" s="30" t="s">
        <v>27</v>
      </c>
      <c r="C14" s="31">
        <f t="shared" ref="C14:N14" si="10">LOOKUP(100*C11,$P5:$P14,$Q5:$Q14)</f>
        <v>7</v>
      </c>
      <c r="D14" s="32">
        <f t="shared" si="10"/>
        <v>7</v>
      </c>
      <c r="E14" s="32">
        <f t="shared" si="10"/>
        <v>5</v>
      </c>
      <c r="F14" s="32">
        <f t="shared" si="10"/>
        <v>2</v>
      </c>
      <c r="G14" s="32">
        <f t="shared" si="10"/>
        <v>0</v>
      </c>
      <c r="H14" s="32">
        <f t="shared" si="10"/>
        <v>3</v>
      </c>
      <c r="I14" s="32">
        <f t="shared" si="10"/>
        <v>7</v>
      </c>
      <c r="J14" s="32">
        <f t="shared" si="10"/>
        <v>5</v>
      </c>
      <c r="K14" s="32">
        <f t="shared" si="10"/>
        <v>5</v>
      </c>
      <c r="L14" s="32">
        <f t="shared" si="10"/>
        <v>5</v>
      </c>
      <c r="M14" s="32">
        <f t="shared" si="10"/>
        <v>7</v>
      </c>
      <c r="N14" s="33">
        <f t="shared" si="10"/>
        <v>6</v>
      </c>
      <c r="P14" s="63">
        <v>97</v>
      </c>
      <c r="Q14" s="63">
        <v>9</v>
      </c>
      <c r="S14" s="156">
        <f>$I$8</f>
        <v>2.2999999999996135</v>
      </c>
      <c r="T14" s="176" t="s">
        <v>18</v>
      </c>
      <c r="U14" s="162">
        <f t="shared" si="7"/>
        <v>5.8</v>
      </c>
      <c r="V14" s="163">
        <f t="shared" si="8"/>
        <v>3.6666666666666665</v>
      </c>
      <c r="W14" s="159">
        <f t="shared" si="9"/>
        <v>2.1333333333333333</v>
      </c>
    </row>
    <row r="15" spans="2:23" ht="12.75" customHeight="1" thickBot="1" x14ac:dyDescent="0.3">
      <c r="B15" s="34"/>
      <c r="C15" s="35" t="s">
        <v>26</v>
      </c>
      <c r="D15" s="36" t="s">
        <v>26</v>
      </c>
      <c r="E15" s="36" t="s">
        <v>26</v>
      </c>
      <c r="F15" s="36" t="s">
        <v>28</v>
      </c>
      <c r="G15" s="36" t="s">
        <v>12</v>
      </c>
      <c r="H15" s="36" t="s">
        <v>29</v>
      </c>
      <c r="I15" s="36" t="s">
        <v>28</v>
      </c>
      <c r="J15" s="36" t="s">
        <v>9</v>
      </c>
      <c r="K15" s="36" t="s">
        <v>12</v>
      </c>
      <c r="L15" s="36" t="s">
        <v>25</v>
      </c>
      <c r="M15" s="36" t="s">
        <v>28</v>
      </c>
      <c r="N15" s="37" t="s">
        <v>12</v>
      </c>
      <c r="S15" s="156">
        <f>$C$8</f>
        <v>0.79999999999857963</v>
      </c>
      <c r="T15" s="175" t="s">
        <v>14</v>
      </c>
      <c r="U15" s="162">
        <f t="shared" ref="U15:U23" si="11">HLOOKUP(LEFT(T15,3),$D$18:$K$19,2,FALSE)</f>
        <v>5.8</v>
      </c>
      <c r="V15" s="163">
        <f t="shared" ref="V15:V23" si="12">HLOOKUP(RIGHT(T15,3),$D$18:$K$19,2,FALSE)</f>
        <v>2.1666666666666665</v>
      </c>
      <c r="W15" s="160">
        <f>U14-V14</f>
        <v>2.1333333333333333</v>
      </c>
    </row>
    <row r="16" spans="2:23" ht="12.75" customHeight="1" thickBot="1" x14ac:dyDescent="0.3">
      <c r="B16" s="38"/>
      <c r="C16" s="39">
        <f>9-C14</f>
        <v>2</v>
      </c>
      <c r="D16" s="40">
        <f>9-D14</f>
        <v>2</v>
      </c>
      <c r="E16" s="40">
        <f t="shared" ref="E16:N16" si="13">9-E14</f>
        <v>4</v>
      </c>
      <c r="F16" s="40">
        <f t="shared" si="13"/>
        <v>7</v>
      </c>
      <c r="G16" s="40">
        <f t="shared" si="13"/>
        <v>9</v>
      </c>
      <c r="H16" s="40">
        <f t="shared" si="13"/>
        <v>6</v>
      </c>
      <c r="I16" s="40">
        <f t="shared" si="13"/>
        <v>2</v>
      </c>
      <c r="J16" s="40">
        <f t="shared" si="13"/>
        <v>4</v>
      </c>
      <c r="K16" s="40">
        <f t="shared" si="13"/>
        <v>4</v>
      </c>
      <c r="L16" s="40">
        <f t="shared" si="13"/>
        <v>4</v>
      </c>
      <c r="M16" s="40">
        <f t="shared" si="13"/>
        <v>2</v>
      </c>
      <c r="N16" s="41">
        <f t="shared" si="13"/>
        <v>3</v>
      </c>
      <c r="P16" s="63"/>
      <c r="Q16" s="63"/>
      <c r="S16" s="156">
        <f>$M$8</f>
        <v>5.0000000000011369</v>
      </c>
      <c r="T16" s="177" t="s">
        <v>8</v>
      </c>
      <c r="U16" s="162">
        <f t="shared" si="11"/>
        <v>6</v>
      </c>
      <c r="V16" s="163">
        <f t="shared" si="12"/>
        <v>3.6666666666666665</v>
      </c>
      <c r="W16" s="160">
        <f t="shared" ref="W16:W23" si="14">U16-V16</f>
        <v>2.3333333333333335</v>
      </c>
    </row>
    <row r="17" spans="2:23" ht="12.75" customHeight="1" thickBot="1" x14ac:dyDescent="0.3">
      <c r="C17" s="59"/>
      <c r="D17" s="59"/>
      <c r="E17" s="59"/>
      <c r="F17" s="59"/>
      <c r="G17" s="59"/>
      <c r="H17" s="59"/>
      <c r="I17" s="59"/>
      <c r="J17" s="59"/>
      <c r="S17" s="156">
        <f>$D$8</f>
        <v>2.4000000000001798</v>
      </c>
      <c r="T17" s="174" t="s">
        <v>15</v>
      </c>
      <c r="U17" s="162">
        <f t="shared" si="11"/>
        <v>6</v>
      </c>
      <c r="V17" s="163">
        <f t="shared" si="12"/>
        <v>2.1666666666666665</v>
      </c>
      <c r="W17" s="159">
        <f t="shared" si="14"/>
        <v>3.8333333333333335</v>
      </c>
    </row>
    <row r="18" spans="2:23" ht="12.75" customHeight="1" thickBot="1" x14ac:dyDescent="0.35">
      <c r="B18" s="42" t="s">
        <v>30</v>
      </c>
      <c r="C18" s="43"/>
      <c r="D18" s="44" t="s">
        <v>26</v>
      </c>
      <c r="E18" s="44" t="s">
        <v>24</v>
      </c>
      <c r="F18" s="44" t="s">
        <v>9</v>
      </c>
      <c r="G18" s="44" t="s">
        <v>12</v>
      </c>
      <c r="H18" s="44" t="s">
        <v>29</v>
      </c>
      <c r="I18" s="44" t="s">
        <v>25</v>
      </c>
      <c r="J18" s="44" t="s">
        <v>28</v>
      </c>
      <c r="L18" s="67" t="s">
        <v>0</v>
      </c>
      <c r="M18" s="58"/>
      <c r="N18" s="59"/>
      <c r="S18" s="156"/>
      <c r="T18" s="175" t="s">
        <v>45</v>
      </c>
      <c r="U18" s="162">
        <f t="shared" si="11"/>
        <v>6</v>
      </c>
      <c r="V18" s="163">
        <f t="shared" si="12"/>
        <v>6</v>
      </c>
      <c r="W18" s="160">
        <f t="shared" si="14"/>
        <v>0</v>
      </c>
    </row>
    <row r="19" spans="2:23" ht="12.75" customHeight="1" thickBot="1" x14ac:dyDescent="0.3">
      <c r="B19" s="38"/>
      <c r="C19" s="45"/>
      <c r="D19" s="46">
        <f>(F14+G14+H14+C16+D16+E16)/6</f>
        <v>2.1666666666666665</v>
      </c>
      <c r="E19" s="46">
        <f>(C14+I14+J14+K14+L14)/5</f>
        <v>5.8</v>
      </c>
      <c r="F19" s="46">
        <f>(D14+M14+N14+J16)/4</f>
        <v>6</v>
      </c>
      <c r="G19" s="46">
        <f>(G16+K16+N16)/3</f>
        <v>5.333333333333333</v>
      </c>
      <c r="H19" s="46">
        <f>H16</f>
        <v>6</v>
      </c>
      <c r="I19" s="46">
        <f>(E14+L16)/2</f>
        <v>4.5</v>
      </c>
      <c r="J19" s="46">
        <f>(F16+I16+M16)/3</f>
        <v>3.6666666666666665</v>
      </c>
      <c r="L19" s="52" t="s">
        <v>32</v>
      </c>
      <c r="M19" s="60"/>
      <c r="N19" s="59"/>
      <c r="S19" s="156">
        <f>$N$8</f>
        <v>3.9999999999995595</v>
      </c>
      <c r="T19" s="175" t="s">
        <v>10</v>
      </c>
      <c r="U19" s="162">
        <f t="shared" si="11"/>
        <v>6</v>
      </c>
      <c r="V19" s="163">
        <f t="shared" si="12"/>
        <v>5.333333333333333</v>
      </c>
      <c r="W19" s="159">
        <f t="shared" si="14"/>
        <v>0.66666666666666696</v>
      </c>
    </row>
    <row r="20" spans="2:23" ht="12.75" customHeight="1" thickBot="1" x14ac:dyDescent="0.3">
      <c r="B20" s="47"/>
      <c r="C20" s="48" t="s">
        <v>31</v>
      </c>
      <c r="D20" s="49">
        <v>6</v>
      </c>
      <c r="E20" s="49">
        <v>5</v>
      </c>
      <c r="F20" s="49">
        <v>4</v>
      </c>
      <c r="G20" s="49">
        <v>3</v>
      </c>
      <c r="H20" s="49">
        <v>1</v>
      </c>
      <c r="I20" s="49">
        <v>2</v>
      </c>
      <c r="J20" s="50">
        <v>3</v>
      </c>
      <c r="L20" s="51" t="s">
        <v>1</v>
      </c>
      <c r="M20" s="61"/>
      <c r="N20" s="59"/>
      <c r="S20" s="156"/>
      <c r="T20" s="174" t="s">
        <v>44</v>
      </c>
      <c r="U20" s="162">
        <f t="shared" si="11"/>
        <v>6</v>
      </c>
      <c r="V20" s="163">
        <f t="shared" si="12"/>
        <v>4.5</v>
      </c>
      <c r="W20" s="160">
        <f t="shared" si="14"/>
        <v>1.5</v>
      </c>
    </row>
    <row r="21" spans="2:23" ht="12.75" customHeight="1" thickBot="1" x14ac:dyDescent="0.3">
      <c r="L21" s="68" t="s">
        <v>2</v>
      </c>
      <c r="M21" s="62"/>
      <c r="N21" s="59"/>
      <c r="S21" s="156">
        <f>$G$8</f>
        <v>0.79999999999968985</v>
      </c>
      <c r="T21" s="175" t="s">
        <v>11</v>
      </c>
      <c r="U21" s="162">
        <f t="shared" si="11"/>
        <v>2.1666666666666665</v>
      </c>
      <c r="V21" s="163">
        <f t="shared" si="12"/>
        <v>5.333333333333333</v>
      </c>
      <c r="W21" s="159">
        <f t="shared" si="14"/>
        <v>-3.1666666666666665</v>
      </c>
    </row>
    <row r="22" spans="2:23" ht="12.75" customHeight="1" thickBot="1" x14ac:dyDescent="0.3">
      <c r="S22" s="156">
        <f>$H$8</f>
        <v>2.4000000000001798</v>
      </c>
      <c r="T22" s="174" t="s">
        <v>17</v>
      </c>
      <c r="U22" s="162">
        <f t="shared" si="11"/>
        <v>2.1666666666666665</v>
      </c>
      <c r="V22" s="163">
        <f t="shared" si="12"/>
        <v>6</v>
      </c>
      <c r="W22" s="160">
        <f t="shared" si="14"/>
        <v>-3.8333333333333335</v>
      </c>
    </row>
    <row r="23" spans="2:23" ht="12.75" customHeight="1" thickBot="1" x14ac:dyDescent="0.3">
      <c r="S23" s="157">
        <f>$F$8</f>
        <v>0.90000000000003411</v>
      </c>
      <c r="T23" s="175" t="s">
        <v>16</v>
      </c>
      <c r="U23" s="168">
        <f t="shared" si="11"/>
        <v>2.1666666666666665</v>
      </c>
      <c r="V23" s="169">
        <f t="shared" si="12"/>
        <v>3.6666666666666665</v>
      </c>
      <c r="W23" s="161">
        <f t="shared" si="14"/>
        <v>-1.5</v>
      </c>
    </row>
    <row r="24" spans="2:23" ht="12.75" customHeight="1" x14ac:dyDescent="0.25"/>
    <row r="25" spans="2:23" ht="12.75" customHeight="1" x14ac:dyDescent="0.25"/>
    <row r="26" spans="2:23" ht="12.75" customHeight="1" x14ac:dyDescent="0.25"/>
    <row r="27" spans="2:23" ht="12.75" customHeight="1" x14ac:dyDescent="0.25"/>
    <row r="28" spans="2:23" ht="12.75" customHeight="1" x14ac:dyDescent="0.25"/>
    <row r="29" spans="2:23" ht="12.75" customHeight="1" x14ac:dyDescent="0.25"/>
    <row r="30" spans="2:23" ht="12.75" customHeight="1" x14ac:dyDescent="0.25"/>
    <row r="31" spans="2:23" ht="12.75" customHeight="1" x14ac:dyDescent="0.25"/>
    <row r="32" spans="2:23" ht="12.75" customHeight="1" x14ac:dyDescent="0.25"/>
    <row r="33" spans="8:10" ht="12.75" customHeight="1" x14ac:dyDescent="0.25">
      <c r="J33" s="66"/>
    </row>
    <row r="34" spans="8:10" ht="12.75" customHeight="1" x14ac:dyDescent="0.25">
      <c r="J34" s="66"/>
    </row>
    <row r="35" spans="8:10" ht="12.75" customHeight="1" x14ac:dyDescent="0.25">
      <c r="J35" s="66"/>
    </row>
    <row r="36" spans="8:10" ht="12.75" customHeight="1" x14ac:dyDescent="0.25">
      <c r="J36" s="66"/>
    </row>
    <row r="37" spans="8:10" ht="12.75" customHeight="1" x14ac:dyDescent="0.25">
      <c r="J37" s="66"/>
    </row>
    <row r="42" spans="8:10" x14ac:dyDescent="0.25">
      <c r="H42" s="158"/>
    </row>
  </sheetData>
  <customSheetViews>
    <customSheetView guid="{67D24A5F-4A49-4D73-A781-A6453EF72A3F}" showPageBreaks="1" showGridLines="0" showRuler="0">
      <selection activeCell="G6" sqref="G6"/>
      <pageMargins left="0.75" right="0.75" top="1" bottom="1" header="0.5" footer="0.5"/>
      <pageSetup orientation="portrait" horizontalDpi="4294967294" verticalDpi="0" r:id="rId1"/>
      <headerFooter alignWithMargins="0"/>
    </customSheetView>
  </customSheetViews>
  <phoneticPr fontId="0" type="noConversion"/>
  <conditionalFormatting sqref="D19:J19">
    <cfRule type="cellIs" dxfId="67" priority="98" stopIfTrue="1" operator="greaterThan">
      <formula>7</formula>
    </cfRule>
    <cfRule type="cellIs" dxfId="66" priority="99" stopIfTrue="1" operator="between">
      <formula>5.000001</formula>
      <formula>7</formula>
    </cfRule>
    <cfRule type="cellIs" dxfId="65" priority="100" stopIfTrue="1" operator="lessThan">
      <formula>2.000001</formula>
    </cfRule>
  </conditionalFormatting>
  <conditionalFormatting sqref="U16:U23 U3:U14">
    <cfRule type="expression" dxfId="64" priority="60" stopIfTrue="1">
      <formula>IF(AND(U3&gt;=7.1,V3&lt;=2),1)</formula>
    </cfRule>
  </conditionalFormatting>
  <conditionalFormatting sqref="V16:V23 V3:V14">
    <cfRule type="expression" dxfId="63" priority="59" stopIfTrue="1">
      <formula>IF(AND(U3&lt;=2,V3&gt;=7.1),1)</formula>
    </cfRule>
  </conditionalFormatting>
  <conditionalFormatting sqref="U4">
    <cfRule type="expression" dxfId="62" priority="58" stopIfTrue="1">
      <formula>IF(AND(U4&gt;=7.1,V4&lt;=2),1)</formula>
    </cfRule>
  </conditionalFormatting>
  <conditionalFormatting sqref="U5">
    <cfRule type="expression" dxfId="61" priority="57" stopIfTrue="1">
      <formula>IF(AND(U5&gt;=7.1,V5&lt;=2),1)</formula>
    </cfRule>
  </conditionalFormatting>
  <conditionalFormatting sqref="U6">
    <cfRule type="expression" dxfId="60" priority="56" stopIfTrue="1">
      <formula>IF(AND(U6&gt;=7.1,V6&lt;=2),1)</formula>
    </cfRule>
  </conditionalFormatting>
  <conditionalFormatting sqref="U7">
    <cfRule type="expression" dxfId="59" priority="55" stopIfTrue="1">
      <formula>IF(AND(U7&gt;=7.1,V7&lt;=2),1)</formula>
    </cfRule>
  </conditionalFormatting>
  <conditionalFormatting sqref="U8">
    <cfRule type="expression" dxfId="58" priority="54" stopIfTrue="1">
      <formula>IF(AND(U8&gt;=7.1,V8&lt;=2),1)</formula>
    </cfRule>
  </conditionalFormatting>
  <conditionalFormatting sqref="U9">
    <cfRule type="expression" dxfId="57" priority="53" stopIfTrue="1">
      <formula>IF(AND(U9&gt;=7.1,V9&lt;=2),1)</formula>
    </cfRule>
  </conditionalFormatting>
  <conditionalFormatting sqref="U10">
    <cfRule type="expression" dxfId="56" priority="52" stopIfTrue="1">
      <formula>IF(AND(U10&gt;=7.1,V10&lt;=2),1)</formula>
    </cfRule>
  </conditionalFormatting>
  <conditionalFormatting sqref="U11">
    <cfRule type="expression" dxfId="55" priority="51" stopIfTrue="1">
      <formula>IF(AND(U11&gt;=7.1,V11&lt;=2),1)</formula>
    </cfRule>
  </conditionalFormatting>
  <conditionalFormatting sqref="U12">
    <cfRule type="expression" dxfId="54" priority="50" stopIfTrue="1">
      <formula>IF(AND(U12&gt;=7.1,V12&lt;=2),1)</formula>
    </cfRule>
  </conditionalFormatting>
  <conditionalFormatting sqref="U13">
    <cfRule type="expression" dxfId="53" priority="48" stopIfTrue="1">
      <formula>IF(AND(U13&gt;=7.1,V13&lt;=2),1)</formula>
    </cfRule>
  </conditionalFormatting>
  <conditionalFormatting sqref="U14">
    <cfRule type="expression" dxfId="52" priority="47" stopIfTrue="1">
      <formula>IF(AND(U14&gt;=7.1,V14&lt;=2),1)</formula>
    </cfRule>
  </conditionalFormatting>
  <conditionalFormatting sqref="U16">
    <cfRule type="expression" dxfId="51" priority="46" stopIfTrue="1">
      <formula>IF(AND(U16&gt;=7.1,V16&lt;=2),1)</formula>
    </cfRule>
  </conditionalFormatting>
  <conditionalFormatting sqref="U17">
    <cfRule type="expression" dxfId="50" priority="45" stopIfTrue="1">
      <formula>IF(AND(U17&gt;=7.1,V17&lt;=2),1)</formula>
    </cfRule>
  </conditionalFormatting>
  <conditionalFormatting sqref="U18">
    <cfRule type="expression" dxfId="49" priority="44" stopIfTrue="1">
      <formula>IF(AND(U18&gt;=7.1,V18&lt;=2),1)</formula>
    </cfRule>
  </conditionalFormatting>
  <conditionalFormatting sqref="U19">
    <cfRule type="expression" dxfId="48" priority="43" stopIfTrue="1">
      <formula>IF(AND(U19&gt;=7.1,V19&lt;=2),1)</formula>
    </cfRule>
  </conditionalFormatting>
  <conditionalFormatting sqref="U20">
    <cfRule type="expression" dxfId="47" priority="42" stopIfTrue="1">
      <formula>IF(AND(U20&gt;=7.1,V20&lt;=2),1)</formula>
    </cfRule>
  </conditionalFormatting>
  <conditionalFormatting sqref="U21">
    <cfRule type="expression" dxfId="46" priority="41" stopIfTrue="1">
      <formula>IF(AND(U21&gt;=7.1,V21&lt;=2),1)</formula>
    </cfRule>
  </conditionalFormatting>
  <conditionalFormatting sqref="U22">
    <cfRule type="expression" dxfId="45" priority="40" stopIfTrue="1">
      <formula>IF(AND(U22&gt;=7.1,V22&lt;=2),1)</formula>
    </cfRule>
  </conditionalFormatting>
  <conditionalFormatting sqref="U23">
    <cfRule type="expression" dxfId="44" priority="39" stopIfTrue="1">
      <formula>IF(AND(U23&gt;=7.1,V23&lt;=2),1)</formula>
    </cfRule>
  </conditionalFormatting>
  <conditionalFormatting sqref="V4">
    <cfRule type="expression" dxfId="43" priority="38" stopIfTrue="1">
      <formula>IF(AND(U4&lt;=2,V4&gt;=7.1),1)</formula>
    </cfRule>
  </conditionalFormatting>
  <conditionalFormatting sqref="V5">
    <cfRule type="expression" dxfId="42" priority="37" stopIfTrue="1">
      <formula>IF(AND(U5&lt;=2,V5&gt;=7.1),1)</formula>
    </cfRule>
  </conditionalFormatting>
  <conditionalFormatting sqref="V6">
    <cfRule type="expression" dxfId="41" priority="36" stopIfTrue="1">
      <formula>IF(AND(U6&lt;=2,V6&gt;=7.1),1)</formula>
    </cfRule>
  </conditionalFormatting>
  <conditionalFormatting sqref="V7">
    <cfRule type="expression" dxfId="40" priority="35" stopIfTrue="1">
      <formula>IF(AND(U7&lt;=2,V7&gt;=7.1),1)</formula>
    </cfRule>
  </conditionalFormatting>
  <conditionalFormatting sqref="V8">
    <cfRule type="expression" dxfId="39" priority="34" stopIfTrue="1">
      <formula>IF(AND(U8&lt;=2,V8&gt;=7.1),1)</formula>
    </cfRule>
  </conditionalFormatting>
  <conditionalFormatting sqref="V9">
    <cfRule type="expression" dxfId="38" priority="33" stopIfTrue="1">
      <formula>IF(AND(U9&lt;=2,V9&gt;=7.1),1)</formula>
    </cfRule>
  </conditionalFormatting>
  <conditionalFormatting sqref="V10">
    <cfRule type="expression" dxfId="37" priority="32" stopIfTrue="1">
      <formula>IF(AND(U10&lt;=2,V10&gt;=7.1),1)</formula>
    </cfRule>
  </conditionalFormatting>
  <conditionalFormatting sqref="V11">
    <cfRule type="expression" dxfId="36" priority="31" stopIfTrue="1">
      <formula>IF(AND(U11&lt;=2,V11&gt;=7.1),1)</formula>
    </cfRule>
  </conditionalFormatting>
  <conditionalFormatting sqref="V12">
    <cfRule type="expression" dxfId="35" priority="30" stopIfTrue="1">
      <formula>IF(AND(U12&lt;=2,V12&gt;=7.1),1)</formula>
    </cfRule>
  </conditionalFormatting>
  <conditionalFormatting sqref="V13">
    <cfRule type="expression" dxfId="34" priority="28" stopIfTrue="1">
      <formula>IF(AND(U13&lt;=2,V13&gt;=7.1),1)</formula>
    </cfRule>
  </conditionalFormatting>
  <conditionalFormatting sqref="V14">
    <cfRule type="expression" dxfId="33" priority="27" stopIfTrue="1">
      <formula>IF(AND(U14&lt;=2,V14&gt;=7.1),1)</formula>
    </cfRule>
  </conditionalFormatting>
  <conditionalFormatting sqref="V16">
    <cfRule type="expression" dxfId="32" priority="26" stopIfTrue="1">
      <formula>IF(AND(U16&lt;=2,V16&gt;=7.1),1)</formula>
    </cfRule>
  </conditionalFormatting>
  <conditionalFormatting sqref="V17">
    <cfRule type="expression" dxfId="31" priority="25" stopIfTrue="1">
      <formula>IF(AND(U17&lt;=2,V17&gt;=7.1),1)</formula>
    </cfRule>
  </conditionalFormatting>
  <conditionalFormatting sqref="V18">
    <cfRule type="expression" dxfId="30" priority="24" stopIfTrue="1">
      <formula>IF(AND(U18&lt;=2,V18&gt;=7.1),1)</formula>
    </cfRule>
  </conditionalFormatting>
  <conditionalFormatting sqref="V19">
    <cfRule type="expression" dxfId="29" priority="23" stopIfTrue="1">
      <formula>IF(AND(U19&lt;=2,V19&gt;=7.1),1)</formula>
    </cfRule>
  </conditionalFormatting>
  <conditionalFormatting sqref="V20">
    <cfRule type="expression" dxfId="28" priority="22" stopIfTrue="1">
      <formula>IF(AND(U20&lt;=2,V20&gt;=7.1),1)</formula>
    </cfRule>
  </conditionalFormatting>
  <conditionalFormatting sqref="V21">
    <cfRule type="expression" dxfId="27" priority="21" stopIfTrue="1">
      <formula>IF(AND(U21&lt;=2,V21&gt;=7.1),1)</formula>
    </cfRule>
  </conditionalFormatting>
  <conditionalFormatting sqref="V22">
    <cfRule type="expression" dxfId="26" priority="20" stopIfTrue="1">
      <formula>IF(AND(U22&lt;=2,V22&gt;=7.1),1)</formula>
    </cfRule>
  </conditionalFormatting>
  <conditionalFormatting sqref="V23">
    <cfRule type="expression" dxfId="25" priority="19" stopIfTrue="1">
      <formula>IF(AND(U23&lt;=2,V23&gt;=7.1),1)</formula>
    </cfRule>
  </conditionalFormatting>
  <conditionalFormatting sqref="U16:U23 U3:U14">
    <cfRule type="expression" dxfId="24" priority="18" stopIfTrue="1">
      <formula>IF(AND(U3&gt;=6.1,V3&lt;=2),1)</formula>
    </cfRule>
  </conditionalFormatting>
  <conditionalFormatting sqref="V16:V23 V3:V14">
    <cfRule type="expression" dxfId="23" priority="17" stopIfTrue="1">
      <formula>IF(AND(U3&lt;=2,V3&gt;=6.1),1)</formula>
    </cfRule>
  </conditionalFormatting>
  <conditionalFormatting sqref="U15">
    <cfRule type="expression" dxfId="22" priority="12" stopIfTrue="1">
      <formula>IF(AND(U15&gt;=7.1,V15&lt;=2),1)</formula>
    </cfRule>
  </conditionalFormatting>
  <conditionalFormatting sqref="V15">
    <cfRule type="expression" dxfId="21" priority="11" stopIfTrue="1">
      <formula>IF(AND(U15&lt;=2,V15&gt;=7.1),1)</formula>
    </cfRule>
  </conditionalFormatting>
  <conditionalFormatting sqref="U15">
    <cfRule type="expression" dxfId="20" priority="10" stopIfTrue="1">
      <formula>IF(AND(U15&gt;=7.1,V15&lt;=2),1)</formula>
    </cfRule>
  </conditionalFormatting>
  <conditionalFormatting sqref="V15">
    <cfRule type="expression" dxfId="19" priority="9" stopIfTrue="1">
      <formula>IF(AND(U15&lt;=2,V15&gt;=7.1),1)</formula>
    </cfRule>
  </conditionalFormatting>
  <conditionalFormatting sqref="U15">
    <cfRule type="expression" dxfId="18" priority="8" stopIfTrue="1">
      <formula>IF(AND(U15&gt;=6.1,V15&lt;=2),1)</formula>
    </cfRule>
  </conditionalFormatting>
  <conditionalFormatting sqref="V15">
    <cfRule type="expression" dxfId="17" priority="7" stopIfTrue="1">
      <formula>IF(AND(U15&lt;=2,V15&gt;=6.1),1)</formula>
    </cfRule>
  </conditionalFormatting>
  <conditionalFormatting sqref="U10">
    <cfRule type="expression" dxfId="16" priority="6" stopIfTrue="1">
      <formula>IF(AND(U10&gt;=7.1,V10&lt;=2),1)</formula>
    </cfRule>
  </conditionalFormatting>
  <conditionalFormatting sqref="V10">
    <cfRule type="expression" dxfId="15" priority="5" stopIfTrue="1">
      <formula>IF(AND(U10&lt;=2,V10&gt;=7.1),1)</formula>
    </cfRule>
  </conditionalFormatting>
  <conditionalFormatting sqref="U13">
    <cfRule type="expression" dxfId="14" priority="4" stopIfTrue="1">
      <formula>IF(AND(U13&gt;=7.1,V13&lt;=2),1)</formula>
    </cfRule>
  </conditionalFormatting>
  <conditionalFormatting sqref="V13">
    <cfRule type="expression" dxfId="13" priority="3" stopIfTrue="1">
      <formula>IF(AND(U13&lt;=2,V13&gt;=7.1),1)</formula>
    </cfRule>
  </conditionalFormatting>
  <conditionalFormatting sqref="U12:U14">
    <cfRule type="expression" dxfId="12" priority="2" stopIfTrue="1">
      <formula>IF(AND(U12&gt;=7.1,V12&lt;=2),1)</formula>
    </cfRule>
  </conditionalFormatting>
  <conditionalFormatting sqref="V12:V14">
    <cfRule type="expression" dxfId="11" priority="1" stopIfTrue="1">
      <formula>IF(AND(U12&lt;=2,V12&gt;=7.1),1)</formula>
    </cfRule>
  </conditionalFormatting>
  <pageMargins left="0.75" right="0.75" top="1" bottom="1" header="0.5" footer="0.5"/>
  <pageSetup orientation="portrait" horizontalDpi="4294967294" verticalDpi="300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30"/>
  <sheetViews>
    <sheetView tabSelected="1" topLeftCell="A10" workbookViewId="0">
      <selection activeCell="D19" sqref="D19"/>
    </sheetView>
  </sheetViews>
  <sheetFormatPr defaultColWidth="10.6640625" defaultRowHeight="12.75" customHeight="1" x14ac:dyDescent="0.25"/>
  <cols>
    <col min="1" max="1" width="3.88671875" style="69" customWidth="1"/>
    <col min="2" max="2" width="12.6640625" style="88" customWidth="1"/>
    <col min="3" max="30" width="10.6640625" style="69"/>
    <col min="31" max="34" width="3.6640625" style="69" customWidth="1"/>
    <col min="35" max="35" width="8.6640625" style="122" customWidth="1"/>
    <col min="36" max="36" width="8.6640625" style="88" customWidth="1"/>
    <col min="37" max="38" width="5.6640625" style="88" customWidth="1"/>
    <col min="39" max="39" width="5.6640625" style="147" customWidth="1"/>
    <col min="40" max="16384" width="10.6640625" style="69"/>
  </cols>
  <sheetData>
    <row r="1" spans="2:39" ht="12.75" customHeight="1" thickBot="1" x14ac:dyDescent="0.3">
      <c r="Q1" s="56">
        <f>CORREL(Q5:Q7,R5:R7)</f>
        <v>0.99677731765633582</v>
      </c>
      <c r="R1" s="55">
        <f>CORREL(Q4:Q6, R4:R6)</f>
        <v>0.99999469753848069</v>
      </c>
      <c r="AK1" s="180"/>
      <c r="AL1" s="180"/>
    </row>
    <row r="2" spans="2:39" ht="12.75" customHeight="1" thickBot="1" x14ac:dyDescent="0.3">
      <c r="AE2" s="70"/>
      <c r="AI2" s="124" t="s">
        <v>76</v>
      </c>
      <c r="AJ2" s="125" t="s">
        <v>38</v>
      </c>
      <c r="AK2" s="131" t="s">
        <v>78</v>
      </c>
      <c r="AL2" s="130" t="s">
        <v>79</v>
      </c>
      <c r="AM2" s="149" t="s">
        <v>77</v>
      </c>
    </row>
    <row r="3" spans="2:39" ht="12.75" customHeight="1" thickBot="1" x14ac:dyDescent="0.3">
      <c r="B3" s="137" t="s">
        <v>38</v>
      </c>
      <c r="C3" s="134" t="s">
        <v>46</v>
      </c>
      <c r="D3" s="71" t="s">
        <v>71</v>
      </c>
      <c r="E3" s="71" t="s">
        <v>47</v>
      </c>
      <c r="F3" s="71" t="s">
        <v>48</v>
      </c>
      <c r="G3" s="71" t="s">
        <v>49</v>
      </c>
      <c r="H3" s="71" t="s">
        <v>50</v>
      </c>
      <c r="I3" s="71" t="s">
        <v>51</v>
      </c>
      <c r="J3" s="71" t="s">
        <v>52</v>
      </c>
      <c r="K3" s="71" t="s">
        <v>53</v>
      </c>
      <c r="L3" s="71" t="s">
        <v>54</v>
      </c>
      <c r="M3" s="71" t="s">
        <v>55</v>
      </c>
      <c r="N3" s="71" t="s">
        <v>56</v>
      </c>
      <c r="O3" s="71" t="s">
        <v>57</v>
      </c>
      <c r="P3" s="71" t="s">
        <v>72</v>
      </c>
      <c r="Q3" s="71" t="s">
        <v>70</v>
      </c>
      <c r="R3" s="71" t="s">
        <v>58</v>
      </c>
      <c r="S3" s="71" t="s">
        <v>59</v>
      </c>
      <c r="T3" s="71" t="s">
        <v>60</v>
      </c>
      <c r="U3" s="71" t="s">
        <v>61</v>
      </c>
      <c r="V3" s="71" t="s">
        <v>73</v>
      </c>
      <c r="W3" s="71" t="s">
        <v>62</v>
      </c>
      <c r="X3" s="71" t="s">
        <v>74</v>
      </c>
      <c r="Y3" s="71" t="s">
        <v>75</v>
      </c>
      <c r="Z3" s="71" t="s">
        <v>63</v>
      </c>
      <c r="AA3" s="71" t="s">
        <v>64</v>
      </c>
      <c r="AB3" s="71" t="s">
        <v>65</v>
      </c>
      <c r="AC3" s="71" t="s">
        <v>66</v>
      </c>
      <c r="AD3" s="72" t="s">
        <v>67</v>
      </c>
      <c r="AE3" s="73"/>
      <c r="AI3" s="133">
        <f>$C$8</f>
        <v>8.6000000000008292</v>
      </c>
      <c r="AJ3" s="126" t="s">
        <v>46</v>
      </c>
      <c r="AK3" s="162" t="e">
        <f>HLOOKUP(LEFT(AJ3,3),$D$18:$K$19,2,FALSE)</f>
        <v>#DIV/0!</v>
      </c>
      <c r="AL3" s="163">
        <f>HLOOKUP(RIGHT(AJ3,3),$D$18:$K$19,2,FALSE)</f>
        <v>4</v>
      </c>
      <c r="AM3" s="132" t="e">
        <f>+AK3-AL3</f>
        <v>#DIV/0!</v>
      </c>
    </row>
    <row r="4" spans="2:39" ht="12.75" customHeight="1" x14ac:dyDescent="0.25">
      <c r="B4" s="135" t="s">
        <v>6</v>
      </c>
      <c r="C4" s="75">
        <f>[1]!AUDCAD</f>
        <v>0.88856999999999997</v>
      </c>
      <c r="D4" s="75">
        <f>[1]!AUDCHF</f>
        <v>0.61480999999999997</v>
      </c>
      <c r="E4" s="74">
        <f>[1]!AUDJPY</f>
        <v>69.028000000000006</v>
      </c>
      <c r="F4" s="75">
        <f>[1]!AUDNZD</f>
        <v>1.0448200000000001</v>
      </c>
      <c r="G4" s="75">
        <f>[1]!AUDUSD</f>
        <v>0.63675000000000004</v>
      </c>
      <c r="H4" s="75">
        <f>[1]!CADCHF</f>
        <v>0.69254000000000004</v>
      </c>
      <c r="I4" s="74">
        <f>[1]!CADJPY</f>
        <v>77.712000000000003</v>
      </c>
      <c r="J4" s="74">
        <f>[1]!CHFJPY</f>
        <v>112.398</v>
      </c>
      <c r="K4" s="75">
        <f>[1]!EURAUD</f>
        <v>1.7298800000000001</v>
      </c>
      <c r="L4" s="75">
        <f>[1]!EURCAD</f>
        <v>1.53054</v>
      </c>
      <c r="M4" s="75">
        <f>[1]!EURCHF</f>
        <v>1.0571999999999999</v>
      </c>
      <c r="N4" s="75">
        <f>[1]!EURGBP</f>
        <v>0.87846000000000002</v>
      </c>
      <c r="O4" s="74">
        <f>[1]!EURJPY</f>
        <v>118.72799999999999</v>
      </c>
      <c r="P4" s="75">
        <f>[1]!EURNZD</f>
        <v>1.8028299999999999</v>
      </c>
      <c r="Q4" s="75">
        <f>[1]!EURUSD</f>
        <v>1.09518</v>
      </c>
      <c r="R4" s="75">
        <f>[1]!GBPAUD</f>
        <v>1.9731399999999999</v>
      </c>
      <c r="S4" s="75">
        <f>[1]!GBPCAD</f>
        <v>1.74512</v>
      </c>
      <c r="T4" s="75">
        <f>[1]!GBPCHF</f>
        <v>1.20583</v>
      </c>
      <c r="U4" s="74">
        <f>[1]!GBPJPY</f>
        <v>135.392</v>
      </c>
      <c r="V4" s="75">
        <v>0</v>
      </c>
      <c r="W4" s="75">
        <f>[1]!GBPUSD</f>
        <v>1.24865</v>
      </c>
      <c r="X4" s="75">
        <f>[1]!NZDCAD</f>
        <v>0.85155000000000003</v>
      </c>
      <c r="Y4" s="75">
        <f>[1]!NZDCHF</f>
        <v>0.58906999999999998</v>
      </c>
      <c r="Z4" s="74">
        <f>[1]!NZDJPY</f>
        <v>66.152000000000001</v>
      </c>
      <c r="AA4" s="75">
        <f>[1]!NZDUSD</f>
        <v>0.61028000000000004</v>
      </c>
      <c r="AB4" s="75">
        <f>[1]!USDCAD</f>
        <v>1.40083</v>
      </c>
      <c r="AC4" s="75">
        <f>[1]!USDCHF</f>
        <v>0.96735000000000004</v>
      </c>
      <c r="AD4" s="76">
        <f>[1]!USDJPY</f>
        <v>108.587</v>
      </c>
      <c r="AE4" s="77"/>
      <c r="AF4" s="78">
        <v>0</v>
      </c>
      <c r="AG4" s="78">
        <v>0</v>
      </c>
      <c r="AH4" s="78"/>
      <c r="AI4" s="133">
        <f>$D$8</f>
        <v>4.8999999999999044</v>
      </c>
      <c r="AJ4" s="127" t="s">
        <v>71</v>
      </c>
      <c r="AK4" s="164" t="e">
        <f t="shared" ref="AK4:AK30" si="0">HLOOKUP(LEFT(AJ4,3),$D$18:$K$19,2,FALSE)</f>
        <v>#DIV/0!</v>
      </c>
      <c r="AL4" s="165">
        <f t="shared" ref="AL4:AL30" si="1">HLOOKUP(RIGHT(AJ4,3),$D$18:$K$19,2,FALSE)</f>
        <v>5.1428571428571432</v>
      </c>
      <c r="AM4" s="133" t="e">
        <f t="shared" ref="AM4:AM30" si="2">+AK4-AL4</f>
        <v>#DIV/0!</v>
      </c>
    </row>
    <row r="5" spans="2:39" ht="12.75" customHeight="1" x14ac:dyDescent="0.25">
      <c r="B5" s="136" t="s">
        <v>5</v>
      </c>
      <c r="C5" s="75">
        <f>[2]!AUDCAD</f>
        <v>0.88675000000000004</v>
      </c>
      <c r="D5" s="75">
        <f>[2]!AUDCHF</f>
        <v>0.61246</v>
      </c>
      <c r="E5" s="74">
        <f>[2]!AUDJPY</f>
        <v>68.796000000000006</v>
      </c>
      <c r="F5" s="75">
        <f>[2]!AUDNZD</f>
        <v>1.0438499999999999</v>
      </c>
      <c r="G5" s="75">
        <f>[2]!AUDUSD</f>
        <v>0.63466999999999996</v>
      </c>
      <c r="H5" s="75">
        <f>[2]!CADCHF</f>
        <v>0.69096999999999997</v>
      </c>
      <c r="I5" s="74">
        <f>[2]!CADJPY</f>
        <v>77.623000000000005</v>
      </c>
      <c r="J5" s="74">
        <f>[2]!CHFJPY</f>
        <v>112.36</v>
      </c>
      <c r="K5" s="75">
        <f>[2]!EURAUD</f>
        <v>1.7259599999999999</v>
      </c>
      <c r="L5" s="75">
        <f>[2]!EURCAD</f>
        <v>1.52965</v>
      </c>
      <c r="M5" s="75">
        <f>[2]!EURCHF</f>
        <v>1.05644</v>
      </c>
      <c r="N5" s="75">
        <f>[2]!EURGBP</f>
        <v>0.87716000000000005</v>
      </c>
      <c r="O5" s="74">
        <f>[2]!EURJPY</f>
        <v>118.681</v>
      </c>
      <c r="P5" s="75">
        <f>[2]!EURNZD</f>
        <v>1.80172</v>
      </c>
      <c r="Q5" s="75">
        <f>[2]!EURUSD</f>
        <v>1.0948199999999999</v>
      </c>
      <c r="R5" s="75">
        <f>[2]!GBPAUD</f>
        <v>1.9678100000000001</v>
      </c>
      <c r="S5" s="75">
        <f>[2]!GBPCAD</f>
        <v>1.7440599999999999</v>
      </c>
      <c r="T5" s="75">
        <f>[2]!GBPCHF</f>
        <v>1.2045999999999999</v>
      </c>
      <c r="U5" s="74">
        <f>[2]!GBPJPY</f>
        <v>135.322</v>
      </c>
      <c r="V5" s="75">
        <v>0</v>
      </c>
      <c r="W5" s="75">
        <f>[2]!GBPUSD</f>
        <v>1.2484</v>
      </c>
      <c r="X5" s="75">
        <f>[2]!NZDCAD</f>
        <v>0.84958</v>
      </c>
      <c r="Y5" s="75">
        <f>[2]!NZDCHF</f>
        <v>0.58686000000000005</v>
      </c>
      <c r="Z5" s="74">
        <f>[2]!NZDJPY</f>
        <v>65.91</v>
      </c>
      <c r="AA5" s="75">
        <f>[2]!NZDUSD</f>
        <v>0.60802</v>
      </c>
      <c r="AB5" s="75">
        <f>[2]!USDCAD</f>
        <v>1.3969100000000001</v>
      </c>
      <c r="AC5" s="75">
        <f>[2]!USDCHF</f>
        <v>0.96487999999999996</v>
      </c>
      <c r="AD5" s="76">
        <f>[2]!USDJPY</f>
        <v>108.396</v>
      </c>
      <c r="AE5" s="77"/>
      <c r="AF5" s="78">
        <v>3</v>
      </c>
      <c r="AG5" s="78">
        <v>1</v>
      </c>
      <c r="AH5" s="78"/>
      <c r="AI5" s="144">
        <f>$E$8</f>
        <v>4.0000000000006253</v>
      </c>
      <c r="AJ5" s="127" t="s">
        <v>47</v>
      </c>
      <c r="AK5" s="164" t="e">
        <f t="shared" si="0"/>
        <v>#DIV/0!</v>
      </c>
      <c r="AL5" s="165">
        <f t="shared" si="1"/>
        <v>3.4285714285714284</v>
      </c>
      <c r="AM5" s="132" t="e">
        <f t="shared" si="2"/>
        <v>#DIV/0!</v>
      </c>
    </row>
    <row r="6" spans="2:39" ht="12.75" customHeight="1" x14ac:dyDescent="0.25">
      <c r="B6" s="136" t="s">
        <v>4</v>
      </c>
      <c r="C6" s="75">
        <f>[3]!AUDCAD</f>
        <v>0.88588999999999996</v>
      </c>
      <c r="D6" s="140">
        <f>[3]!AUDCHF</f>
        <v>0.61197000000000001</v>
      </c>
      <c r="E6" s="74">
        <f>[3]!AUDJPY</f>
        <v>68.756</v>
      </c>
      <c r="F6" s="75">
        <f>[3]!AUDNZD</f>
        <v>1.0432600000000001</v>
      </c>
      <c r="G6" s="75">
        <f>[3]!AUDUSD</f>
        <v>0.63436000000000003</v>
      </c>
      <c r="H6" s="75">
        <f>[3]!CADCHF</f>
        <v>0.69050999999999996</v>
      </c>
      <c r="I6" s="74">
        <f>[3]!CADJPY</f>
        <v>77.573999999999998</v>
      </c>
      <c r="J6" s="74">
        <f>[3]!CHFJPY</f>
        <v>112.325</v>
      </c>
      <c r="K6" s="75">
        <f>[3]!EURAUD</f>
        <v>1.7247699999999999</v>
      </c>
      <c r="L6" s="75">
        <f>[3]!EURCAD</f>
        <v>1.52877</v>
      </c>
      <c r="M6" s="75">
        <f>[3]!EURCHF</f>
        <v>1.05613</v>
      </c>
      <c r="N6" s="75">
        <f>[3]!EURGBP</f>
        <v>0.87685999999999997</v>
      </c>
      <c r="O6" s="74">
        <f>[3]!EURJPY</f>
        <v>118.658</v>
      </c>
      <c r="P6" s="75">
        <f>[3]!EURNZD</f>
        <v>1.80006</v>
      </c>
      <c r="Q6" s="75">
        <f>[3]!EURUSD</f>
        <v>1.09474</v>
      </c>
      <c r="R6" s="75">
        <f>[3]!GBPAUD</f>
        <v>1.9665999999999999</v>
      </c>
      <c r="S6" s="75">
        <f>[3]!GBPCAD</f>
        <v>1.7431300000000001</v>
      </c>
      <c r="T6" s="75">
        <f>[3]!GBPCHF</f>
        <v>1.2041999999999999</v>
      </c>
      <c r="U6" s="74">
        <f>[3]!GBPJPY</f>
        <v>135.27199999999999</v>
      </c>
      <c r="V6" s="75">
        <v>0</v>
      </c>
      <c r="W6" s="75">
        <f>[3]!GBPUSD</f>
        <v>1.2481599999999999</v>
      </c>
      <c r="X6" s="75">
        <f>[3]!NZDCAD</f>
        <v>0.84870999999999996</v>
      </c>
      <c r="Y6" s="75">
        <f>[3]!NZDCHF</f>
        <v>0.58621999999999996</v>
      </c>
      <c r="Z6" s="74">
        <f>[3]!NZDJPY</f>
        <v>65.872</v>
      </c>
      <c r="AA6" s="75">
        <f>[3]!NZDUSD</f>
        <v>0.60787000000000002</v>
      </c>
      <c r="AB6" s="75">
        <f>[3]!USDCAD</f>
        <v>1.3966700000000001</v>
      </c>
      <c r="AC6" s="75">
        <f>[3]!USDCHF</f>
        <v>0.96479999999999999</v>
      </c>
      <c r="AD6" s="76">
        <f>[3]!USDJPY</f>
        <v>108.387</v>
      </c>
      <c r="AE6" s="77"/>
      <c r="AF6" s="78">
        <v>10</v>
      </c>
      <c r="AG6" s="78">
        <v>2</v>
      </c>
      <c r="AH6" s="78"/>
      <c r="AI6" s="133">
        <f>$F$8</f>
        <v>5.8999999999986841</v>
      </c>
      <c r="AJ6" s="127" t="s">
        <v>48</v>
      </c>
      <c r="AK6" s="164" t="e">
        <f t="shared" si="0"/>
        <v>#DIV/0!</v>
      </c>
      <c r="AL6" s="165" t="e">
        <f t="shared" si="1"/>
        <v>#DIV/0!</v>
      </c>
      <c r="AM6" s="133" t="e">
        <f t="shared" si="2"/>
        <v>#DIV/0!</v>
      </c>
    </row>
    <row r="7" spans="2:39" ht="12.75" customHeight="1" thickBot="1" x14ac:dyDescent="0.3">
      <c r="B7" s="138" t="s">
        <v>7</v>
      </c>
      <c r="C7" s="80">
        <f>[4]!AUDCAD</f>
        <v>0.88188999999999995</v>
      </c>
      <c r="D7" s="80">
        <f>[4]!AUDCHF</f>
        <v>0.60890999999999995</v>
      </c>
      <c r="E7" s="79">
        <f>[4]!AUDJPY</f>
        <v>68.429000000000002</v>
      </c>
      <c r="F7" s="80">
        <f>[4]!AUDNZD</f>
        <v>1.0402</v>
      </c>
      <c r="G7" s="80">
        <f>[4]!AUDUSD</f>
        <v>0.63119000000000003</v>
      </c>
      <c r="H7" s="80">
        <f>[4]!CADCHF</f>
        <v>0.68933</v>
      </c>
      <c r="I7" s="79">
        <f>[4]!CADJPY</f>
        <v>77.363</v>
      </c>
      <c r="J7" s="79">
        <f>[4]!CHFJPY</f>
        <v>111.953</v>
      </c>
      <c r="K7" s="80">
        <f>[4]!EURAUD</f>
        <v>1.7176100000000001</v>
      </c>
      <c r="L7" s="80">
        <f>[4]!EURCAD</f>
        <v>1.5243800000000001</v>
      </c>
      <c r="M7" s="80">
        <f>[4]!EURCHF</f>
        <v>1.0548500000000001</v>
      </c>
      <c r="N7" s="80">
        <f>[4]!EURGBP</f>
        <v>0.87509999999999999</v>
      </c>
      <c r="O7" s="79">
        <f>[4]!EURJPY</f>
        <v>118.361</v>
      </c>
      <c r="P7" s="80">
        <f>[4]!EURNZD</f>
        <v>1.7917099999999999</v>
      </c>
      <c r="Q7" s="80">
        <f>[4]!EURUSD</f>
        <v>1.0919000000000001</v>
      </c>
      <c r="R7" s="80">
        <f>[4]!GBPAUD</f>
        <v>1.9572000000000001</v>
      </c>
      <c r="S7" s="80">
        <f>[4]!GBPCAD</f>
        <v>1.73675</v>
      </c>
      <c r="T7" s="80">
        <f>[4]!GBPCHF</f>
        <v>1.19991</v>
      </c>
      <c r="U7" s="79">
        <f>[4]!GBPJPY</f>
        <v>134.80099999999999</v>
      </c>
      <c r="V7" s="80">
        <v>0</v>
      </c>
      <c r="W7" s="80">
        <f>[4]!GBPUSD</f>
        <v>1.24376</v>
      </c>
      <c r="X7" s="80">
        <f>[4]!NZDCAD</f>
        <v>0.84521000000000002</v>
      </c>
      <c r="Y7" s="80">
        <f>[4]!NZDCHF</f>
        <v>0.58164000000000005</v>
      </c>
      <c r="Z7" s="79">
        <f>[4]!NZDJPY</f>
        <v>65.518000000000001</v>
      </c>
      <c r="AA7" s="80">
        <f>[4]!NZDUSD</f>
        <v>0.60533999999999999</v>
      </c>
      <c r="AB7" s="80">
        <f>[4]!USDCAD</f>
        <v>1.3944799999999999</v>
      </c>
      <c r="AC7" s="80">
        <f>[4]!USDCHF</f>
        <v>0.96474000000000004</v>
      </c>
      <c r="AD7" s="81">
        <f>[4]!USDJPY</f>
        <v>108.327</v>
      </c>
      <c r="AE7" s="77"/>
      <c r="AF7" s="78">
        <v>25</v>
      </c>
      <c r="AG7" s="78">
        <v>3</v>
      </c>
      <c r="AH7" s="78"/>
      <c r="AI7" s="144">
        <f>$G$8</f>
        <v>3.0999999999992145</v>
      </c>
      <c r="AJ7" s="127" t="s">
        <v>49</v>
      </c>
      <c r="AK7" s="164" t="e">
        <f t="shared" si="0"/>
        <v>#DIV/0!</v>
      </c>
      <c r="AL7" s="165">
        <f t="shared" si="1"/>
        <v>2.4</v>
      </c>
      <c r="AM7" s="132" t="e">
        <f t="shared" si="2"/>
        <v>#DIV/0!</v>
      </c>
    </row>
    <row r="8" spans="2:39" ht="12.75" customHeight="1" thickBot="1" x14ac:dyDescent="0.3">
      <c r="B8" s="139" t="s">
        <v>76</v>
      </c>
      <c r="C8" s="141">
        <f>(C5-C6)*10000</f>
        <v>8.6000000000008292</v>
      </c>
      <c r="D8" s="142">
        <f t="shared" ref="D8:AC8" si="3">(D5-D6)*10000</f>
        <v>4.8999999999999044</v>
      </c>
      <c r="E8" s="142">
        <f>(E5-E6)*100</f>
        <v>4.0000000000006253</v>
      </c>
      <c r="F8" s="142">
        <f t="shared" si="3"/>
        <v>5.8999999999986841</v>
      </c>
      <c r="G8" s="142">
        <f t="shared" si="3"/>
        <v>3.0999999999992145</v>
      </c>
      <c r="H8" s="142">
        <f t="shared" si="3"/>
        <v>4.6000000000001595</v>
      </c>
      <c r="I8" s="142">
        <f t="shared" ref="I8:J8" si="4">(I5-I6)*100</f>
        <v>4.9000000000006594</v>
      </c>
      <c r="J8" s="142">
        <f t="shared" si="4"/>
        <v>3.4999999999996589</v>
      </c>
      <c r="K8" s="142">
        <f t="shared" si="3"/>
        <v>11.900000000000244</v>
      </c>
      <c r="L8" s="142">
        <f t="shared" si="3"/>
        <v>8.799999999999919</v>
      </c>
      <c r="M8" s="142">
        <f t="shared" si="3"/>
        <v>3.1000000000003247</v>
      </c>
      <c r="N8" s="142">
        <f t="shared" si="3"/>
        <v>3.0000000000007798</v>
      </c>
      <c r="O8" s="142">
        <f>(O5-O6)*100</f>
        <v>2.2999999999996135</v>
      </c>
      <c r="P8" s="142">
        <f t="shared" si="3"/>
        <v>16.599999999999948</v>
      </c>
      <c r="Q8" s="142">
        <f t="shared" si="3"/>
        <v>0.79999999999857963</v>
      </c>
      <c r="R8" s="142">
        <f t="shared" si="3"/>
        <v>12.100000000001554</v>
      </c>
      <c r="S8" s="142">
        <f t="shared" si="3"/>
        <v>9.2999999999987537</v>
      </c>
      <c r="T8" s="142">
        <f t="shared" si="3"/>
        <v>3.9999999999995595</v>
      </c>
      <c r="U8" s="142">
        <f>(U5-U6)*100</f>
        <v>5.0000000000011369</v>
      </c>
      <c r="V8" s="142">
        <v>0</v>
      </c>
      <c r="W8" s="142">
        <f t="shared" si="3"/>
        <v>2.4000000000001798</v>
      </c>
      <c r="X8" s="142">
        <f t="shared" si="3"/>
        <v>8.7000000000003741</v>
      </c>
      <c r="Y8" s="142">
        <f t="shared" si="3"/>
        <v>6.4000000000008495</v>
      </c>
      <c r="Z8" s="142">
        <f>(Z5-Z6)*100</f>
        <v>3.7999999999996703</v>
      </c>
      <c r="AA8" s="142">
        <f t="shared" si="3"/>
        <v>1.4999999999998348</v>
      </c>
      <c r="AB8" s="142">
        <f t="shared" si="3"/>
        <v>2.4000000000001798</v>
      </c>
      <c r="AC8" s="142">
        <f t="shared" si="3"/>
        <v>0.79999999999968985</v>
      </c>
      <c r="AD8" s="143">
        <f>(AD5-AD6)*100</f>
        <v>0.90000000000003411</v>
      </c>
      <c r="AE8" s="70"/>
      <c r="AF8" s="78">
        <v>40</v>
      </c>
      <c r="AG8" s="78">
        <v>4</v>
      </c>
      <c r="AH8" s="78"/>
      <c r="AI8" s="133">
        <f>$H$8</f>
        <v>4.6000000000001595</v>
      </c>
      <c r="AJ8" s="127" t="s">
        <v>50</v>
      </c>
      <c r="AK8" s="164">
        <f t="shared" si="0"/>
        <v>4</v>
      </c>
      <c r="AL8" s="165">
        <f t="shared" si="1"/>
        <v>5.1428571428571432</v>
      </c>
      <c r="AM8" s="133">
        <f t="shared" si="2"/>
        <v>-1.1428571428571432</v>
      </c>
    </row>
    <row r="9" spans="2:39" ht="12.75" customHeight="1" thickBot="1" x14ac:dyDescent="0.3">
      <c r="B9" s="119"/>
      <c r="AE9" s="70"/>
      <c r="AF9" s="78">
        <v>50</v>
      </c>
      <c r="AG9" s="78">
        <v>5</v>
      </c>
      <c r="AH9" s="78"/>
      <c r="AI9" s="132">
        <f>$I$8</f>
        <v>4.9000000000006594</v>
      </c>
      <c r="AJ9" s="127" t="s">
        <v>51</v>
      </c>
      <c r="AK9" s="164">
        <f t="shared" si="0"/>
        <v>4</v>
      </c>
      <c r="AL9" s="165">
        <f t="shared" si="1"/>
        <v>3.4285714285714284</v>
      </c>
      <c r="AM9" s="132">
        <f t="shared" si="2"/>
        <v>0.57142857142857162</v>
      </c>
    </row>
    <row r="10" spans="2:39" ht="12.75" customHeight="1" x14ac:dyDescent="0.25">
      <c r="B10" s="117" t="s">
        <v>68</v>
      </c>
      <c r="C10" s="82">
        <f>($C4:$AD4-$C7:$AD7)*10000</f>
        <v>66.800000000000196</v>
      </c>
      <c r="D10" s="83">
        <f>($C4:$AD4-$C7:$AD7)*10000</f>
        <v>59.000000000000163</v>
      </c>
      <c r="E10" s="83">
        <f>($C4:$AD4-$C7:$AD7)*100</f>
        <v>59.900000000000375</v>
      </c>
      <c r="F10" s="83"/>
      <c r="G10" s="83">
        <f>($C4:$AD4-$C7:$AD7)*10000</f>
        <v>55.600000000000094</v>
      </c>
      <c r="H10" s="83">
        <f>($C4:$AD4-$C7:$AD7)*10000</f>
        <v>32.100000000000463</v>
      </c>
      <c r="I10" s="83">
        <f>($C4:$AD4-$C7:$AD7)*100</f>
        <v>34.900000000000375</v>
      </c>
      <c r="J10" s="83">
        <f>($C4:$AD4-$C7:$AD7)*100</f>
        <v>44.499999999999318</v>
      </c>
      <c r="K10" s="83">
        <f>($C4:$AD4-$C7:$AD7)*10000</f>
        <v>122.70000000000003</v>
      </c>
      <c r="L10" s="83">
        <f>($C4:$AD4-$C7:$AD7)*10000</f>
        <v>61.599999999999433</v>
      </c>
      <c r="M10" s="83">
        <f>($C4:$AD4-$C7:$AD7)*10000</f>
        <v>23.499999999998522</v>
      </c>
      <c r="N10" s="83">
        <f>($C4:$AD4-$C7:$AD7)*10000</f>
        <v>33.600000000000293</v>
      </c>
      <c r="O10" s="83">
        <f>($C4:$AD4-$C7:$AD7)*100</f>
        <v>36.699999999999022</v>
      </c>
      <c r="P10" s="83">
        <f>($C4:$AD4-$C7:$AD7)*10000</f>
        <v>111.20000000000019</v>
      </c>
      <c r="Q10" s="83">
        <f>($C4:$AD4-$C7:$AD7)*10000</f>
        <v>32.7999999999995</v>
      </c>
      <c r="R10" s="83">
        <f>($C4:$AD4-$C7:$AD7)*10000</f>
        <v>159.39999999999844</v>
      </c>
      <c r="S10" s="83">
        <f>($C4:$AD4-$C7:$AD7)*10000</f>
        <v>83.699999999999889</v>
      </c>
      <c r="T10" s="83">
        <f>($C4:$AD4-$C7:$AD7)*10000</f>
        <v>59.19999999999925</v>
      </c>
      <c r="U10" s="83">
        <f>($C4:$AD4-$C7:$AD7)*100</f>
        <v>59.100000000000819</v>
      </c>
      <c r="V10" s="83">
        <v>0</v>
      </c>
      <c r="W10" s="83">
        <f>($C4:$AD4-$C7:$AD7)*10000</f>
        <v>48.90000000000061</v>
      </c>
      <c r="X10" s="83">
        <f>($C4:$AD4-$C7:$AD7)*10000</f>
        <v>63.400000000000119</v>
      </c>
      <c r="Y10" s="83">
        <f>($C4:$AD4-$C7:$AD7)*10000</f>
        <v>74.299999999999372</v>
      </c>
      <c r="Z10" s="83">
        <f>($C4:$AD4-$C7:$AD7)*100</f>
        <v>63.400000000000034</v>
      </c>
      <c r="AA10" s="83">
        <f>($C4:$AD4-$C7:$AD7)*10000</f>
        <v>49.400000000000553</v>
      </c>
      <c r="AB10" s="83">
        <f>($C4:$AD4-$C7:$AD7)*10000</f>
        <v>63.500000000000782</v>
      </c>
      <c r="AC10" s="83">
        <f>($C4:$AD4-$C7:$AD7)*10000</f>
        <v>26.100000000000012</v>
      </c>
      <c r="AD10" s="84">
        <f>($C4:$AD4-$C7:$AD7)*100</f>
        <v>26.000000000000512</v>
      </c>
      <c r="AE10" s="70"/>
      <c r="AF10" s="78">
        <v>60</v>
      </c>
      <c r="AG10" s="78">
        <v>6</v>
      </c>
      <c r="AH10" s="78"/>
      <c r="AI10" s="145">
        <f>$J$8</f>
        <v>3.4999999999996589</v>
      </c>
      <c r="AJ10" s="127" t="s">
        <v>52</v>
      </c>
      <c r="AK10" s="164">
        <f t="shared" si="0"/>
        <v>5.1428571428571432</v>
      </c>
      <c r="AL10" s="165">
        <f t="shared" si="1"/>
        <v>3.4285714285714284</v>
      </c>
      <c r="AM10" s="133">
        <f t="shared" si="2"/>
        <v>1.7142857142857149</v>
      </c>
    </row>
    <row r="11" spans="2:39" ht="12.75" customHeight="1" thickBot="1" x14ac:dyDescent="0.3">
      <c r="B11" s="118" t="s">
        <v>22</v>
      </c>
      <c r="C11" s="85">
        <f>($C6:$AD6-$C7:$AD7)/$C10:$AD10*10000</f>
        <v>0.59880239520957956</v>
      </c>
      <c r="D11" s="86">
        <f>($C6:$AD6-$C7:$AD7)/$C10:$AD10*10000</f>
        <v>0.51864406779661931</v>
      </c>
      <c r="E11" s="86">
        <f>($C6:$AD6-$C7:$AD7)/$C10:$AD10*100</f>
        <v>0.54590984974957613</v>
      </c>
      <c r="F11" s="86" t="e">
        <f>($C6:$AD6-$C7:$AD7)/$C10:$AD10*10000</f>
        <v>#DIV/0!</v>
      </c>
      <c r="G11" s="86">
        <f>($C6:$AD6-$C7:$AD7)/$C10:$AD10*10000</f>
        <v>0.57014388489208645</v>
      </c>
      <c r="H11" s="86">
        <f>($C6:$AD6-$C7:$AD7)/$C10:$AD10*10000</f>
        <v>0.36760124610590089</v>
      </c>
      <c r="I11" s="86">
        <f>($C6:$AD6-$C7:$AD7)/$C10:$AD10*100</f>
        <v>0.60458452722061962</v>
      </c>
      <c r="J11" s="86">
        <f>($C6:$AD6-$C7:$AD7)/$C10:$AD10*100</f>
        <v>0.83595505617978771</v>
      </c>
      <c r="K11" s="86">
        <f>($C6:$AD6-$C7:$AD7)/$C10:$AD10*10000</f>
        <v>0.58353708231457468</v>
      </c>
      <c r="L11" s="86">
        <f>($C6:$AD6-$C7:$AD7)/$C10:$AD10*10000</f>
        <v>0.71266233766232689</v>
      </c>
      <c r="M11" s="86">
        <f>($C6:$AD6-$C7:$AD7)/$C10:$AD10*10000</f>
        <v>0.5446808510638419</v>
      </c>
      <c r="N11" s="86">
        <f>($C6:$AD6-$C7:$AD7)/$C10:$AD10*10000</f>
        <v>0.5238095238095144</v>
      </c>
      <c r="O11" s="86">
        <f>($C6:$AD6-$C7:$AD7)/$C10:$AD10*100</f>
        <v>0.80926430517712522</v>
      </c>
      <c r="P11" s="86">
        <f>($C6:$AD6-$C7:$AD7)/$C10:$AD10*10000</f>
        <v>0.75089928057554556</v>
      </c>
      <c r="Q11" s="86">
        <f>($C6:$AD6-$C7:$AD7)/$C10:$AD10*10000</f>
        <v>0.86585365853658447</v>
      </c>
      <c r="R11" s="86">
        <f>($C6:$AD6-$C7:$AD7)/$C10:$AD10*10000</f>
        <v>0.58971141781680958</v>
      </c>
      <c r="S11" s="86">
        <f>($C6:$AD6-$C7:$AD7)/$C10:$AD10*10000</f>
        <v>0.76224611708483403</v>
      </c>
      <c r="T11" s="86">
        <f>($C6:$AD6-$C7:$AD7)/$C10:$AD10*10000</f>
        <v>0.72466216216215529</v>
      </c>
      <c r="U11" s="86">
        <f>($C6:$AD6-$C7:$AD7)/$C10:$AD10*100</f>
        <v>0.79695431472080724</v>
      </c>
      <c r="V11" s="86">
        <v>0</v>
      </c>
      <c r="W11" s="86">
        <f>($C6:$AD6-$C7:$AD7)/$C10:$AD10*10000</f>
        <v>0.89979550102247541</v>
      </c>
      <c r="X11" s="86">
        <f>($C6:$AD6-$C7:$AD7)/$C10:$AD10*10000</f>
        <v>0.55205047318611056</v>
      </c>
      <c r="Y11" s="86">
        <f>($C6:$AD6-$C7:$AD7)/$C10:$AD10*10000</f>
        <v>0.61641991924629291</v>
      </c>
      <c r="Z11" s="86">
        <f>($C6:$AD6-$C7:$AD7)/$C10:$AD10*100</f>
        <v>0.55835962145110263</v>
      </c>
      <c r="AA11" s="86">
        <f>($C6:$AD6-$C7:$AD7)/$C10:$AD10*10000</f>
        <v>0.51214574898785503</v>
      </c>
      <c r="AB11" s="86">
        <f>($C6:$AD6-$C7:$AD7)/$C10:$AD10*10000</f>
        <v>0.34488188976379675</v>
      </c>
      <c r="AC11" s="86">
        <f>($C6:$AD6-$C7:$AD7)/$C10:$AD10*10000</f>
        <v>2.2988505747106879E-2</v>
      </c>
      <c r="AD11" s="87">
        <f>($C6:$AD6-$C7:$AD7)/$C10:$AD10*100</f>
        <v>0.23076923076923495</v>
      </c>
      <c r="AE11" s="70"/>
      <c r="AF11" s="78">
        <v>75</v>
      </c>
      <c r="AG11" s="78">
        <v>7</v>
      </c>
      <c r="AH11" s="78"/>
      <c r="AI11" s="132">
        <f>$K$8</f>
        <v>11.900000000000244</v>
      </c>
      <c r="AJ11" s="127" t="s">
        <v>53</v>
      </c>
      <c r="AK11" s="164">
        <f t="shared" si="0"/>
        <v>6</v>
      </c>
      <c r="AL11" s="165" t="e">
        <f t="shared" si="1"/>
        <v>#DIV/0!</v>
      </c>
      <c r="AM11" s="132" t="e">
        <f t="shared" si="2"/>
        <v>#DIV/0!</v>
      </c>
    </row>
    <row r="12" spans="2:39" ht="12.75" customHeight="1" thickBot="1" x14ac:dyDescent="0.3">
      <c r="C12" s="88"/>
      <c r="AF12" s="78">
        <v>90</v>
      </c>
      <c r="AG12" s="78">
        <v>8</v>
      </c>
      <c r="AH12" s="78"/>
      <c r="AI12" s="133">
        <f>$L$8</f>
        <v>8.799999999999919</v>
      </c>
      <c r="AJ12" s="127" t="s">
        <v>54</v>
      </c>
      <c r="AK12" s="164">
        <f t="shared" si="0"/>
        <v>6</v>
      </c>
      <c r="AL12" s="165">
        <f t="shared" si="1"/>
        <v>4</v>
      </c>
      <c r="AM12" s="133">
        <f t="shared" si="2"/>
        <v>2</v>
      </c>
    </row>
    <row r="13" spans="2:39" ht="12.75" customHeight="1" x14ac:dyDescent="0.25">
      <c r="B13" s="89" t="s">
        <v>23</v>
      </c>
      <c r="C13" s="89" t="str">
        <f>LEFT(C3,3)</f>
        <v>AUD</v>
      </c>
      <c r="D13" s="90" t="str">
        <f t="shared" ref="D13" si="5">LEFT(D3,3)</f>
        <v>AUD</v>
      </c>
      <c r="E13" s="90" t="str">
        <f t="shared" ref="E13:AD13" si="6">LEFT(E3,3)</f>
        <v>AUD</v>
      </c>
      <c r="F13" s="90" t="str">
        <f t="shared" si="6"/>
        <v>AUD</v>
      </c>
      <c r="G13" s="90" t="str">
        <f t="shared" si="6"/>
        <v>AUD</v>
      </c>
      <c r="H13" s="90" t="str">
        <f t="shared" si="6"/>
        <v>CAD</v>
      </c>
      <c r="I13" s="90" t="str">
        <f t="shared" si="6"/>
        <v>CAD</v>
      </c>
      <c r="J13" s="90" t="str">
        <f t="shared" si="6"/>
        <v>CHF</v>
      </c>
      <c r="K13" s="90" t="str">
        <f t="shared" si="6"/>
        <v>EUR</v>
      </c>
      <c r="L13" s="90" t="str">
        <f t="shared" si="6"/>
        <v>EUR</v>
      </c>
      <c r="M13" s="90" t="str">
        <f t="shared" si="6"/>
        <v>EUR</v>
      </c>
      <c r="N13" s="90" t="str">
        <f t="shared" si="6"/>
        <v>EUR</v>
      </c>
      <c r="O13" s="90" t="str">
        <f t="shared" si="6"/>
        <v>EUR</v>
      </c>
      <c r="P13" s="90" t="str">
        <f t="shared" ref="P13" si="7">LEFT(P3,3)</f>
        <v>EUR</v>
      </c>
      <c r="Q13" s="90" t="str">
        <f t="shared" si="6"/>
        <v>EUR</v>
      </c>
      <c r="R13" s="90" t="str">
        <f t="shared" si="6"/>
        <v>GBP</v>
      </c>
      <c r="S13" s="90" t="str">
        <f t="shared" si="6"/>
        <v>GBP</v>
      </c>
      <c r="T13" s="90" t="str">
        <f t="shared" si="6"/>
        <v>GBP</v>
      </c>
      <c r="U13" s="90" t="str">
        <f t="shared" si="6"/>
        <v>GBP</v>
      </c>
      <c r="V13" s="90" t="str">
        <f t="shared" ref="V13" si="8">LEFT(V3,3)</f>
        <v>GBP</v>
      </c>
      <c r="W13" s="90" t="str">
        <f t="shared" si="6"/>
        <v>GBP</v>
      </c>
      <c r="X13" s="90" t="str">
        <f t="shared" ref="X13:Y13" si="9">LEFT(X3,3)</f>
        <v>NZD</v>
      </c>
      <c r="Y13" s="90" t="str">
        <f t="shared" si="9"/>
        <v>NZD</v>
      </c>
      <c r="Z13" s="90" t="str">
        <f t="shared" si="6"/>
        <v>NZD</v>
      </c>
      <c r="AA13" s="90" t="str">
        <f t="shared" si="6"/>
        <v>NZD</v>
      </c>
      <c r="AB13" s="90" t="str">
        <f t="shared" si="6"/>
        <v>USD</v>
      </c>
      <c r="AC13" s="90" t="str">
        <f t="shared" si="6"/>
        <v>USD</v>
      </c>
      <c r="AD13" s="91" t="str">
        <f t="shared" si="6"/>
        <v>USD</v>
      </c>
      <c r="AF13" s="78">
        <v>97</v>
      </c>
      <c r="AG13" s="78">
        <v>9</v>
      </c>
      <c r="AH13" s="78"/>
      <c r="AI13" s="144">
        <f>$M$8</f>
        <v>3.1000000000003247</v>
      </c>
      <c r="AJ13" s="127" t="s">
        <v>55</v>
      </c>
      <c r="AK13" s="164">
        <f t="shared" si="0"/>
        <v>6</v>
      </c>
      <c r="AL13" s="165">
        <f t="shared" si="1"/>
        <v>5.1428571428571432</v>
      </c>
      <c r="AM13" s="132">
        <f t="shared" si="2"/>
        <v>0.85714285714285676</v>
      </c>
    </row>
    <row r="14" spans="2:39" ht="12.75" customHeight="1" x14ac:dyDescent="0.25">
      <c r="B14" s="95"/>
      <c r="C14" s="92">
        <f t="shared" ref="C14:AD14" si="10">LOOKUP(100*C11,$AF4:$AF13,$AG4:$AG13)</f>
        <v>5</v>
      </c>
      <c r="D14" s="93">
        <f t="shared" si="10"/>
        <v>5</v>
      </c>
      <c r="E14" s="93">
        <f t="shared" si="10"/>
        <v>5</v>
      </c>
      <c r="F14" s="93" t="e">
        <f t="shared" si="10"/>
        <v>#DIV/0!</v>
      </c>
      <c r="G14" s="93">
        <f t="shared" si="10"/>
        <v>5</v>
      </c>
      <c r="H14" s="93">
        <f t="shared" si="10"/>
        <v>3</v>
      </c>
      <c r="I14" s="93">
        <f t="shared" si="10"/>
        <v>6</v>
      </c>
      <c r="J14" s="93">
        <f t="shared" si="10"/>
        <v>7</v>
      </c>
      <c r="K14" s="93">
        <f t="shared" si="10"/>
        <v>5</v>
      </c>
      <c r="L14" s="93">
        <f t="shared" si="10"/>
        <v>6</v>
      </c>
      <c r="M14" s="93">
        <f t="shared" si="10"/>
        <v>5</v>
      </c>
      <c r="N14" s="93">
        <f t="shared" si="10"/>
        <v>5</v>
      </c>
      <c r="O14" s="93">
        <f t="shared" si="10"/>
        <v>7</v>
      </c>
      <c r="P14" s="93">
        <f t="shared" si="10"/>
        <v>7</v>
      </c>
      <c r="Q14" s="93">
        <f t="shared" si="10"/>
        <v>7</v>
      </c>
      <c r="R14" s="93">
        <f t="shared" si="10"/>
        <v>5</v>
      </c>
      <c r="S14" s="93">
        <f t="shared" si="10"/>
        <v>7</v>
      </c>
      <c r="T14" s="93">
        <f t="shared" si="10"/>
        <v>6</v>
      </c>
      <c r="U14" s="93">
        <f t="shared" si="10"/>
        <v>7</v>
      </c>
      <c r="V14" s="93">
        <v>0</v>
      </c>
      <c r="W14" s="93">
        <f t="shared" si="10"/>
        <v>7</v>
      </c>
      <c r="X14" s="93">
        <f t="shared" si="10"/>
        <v>5</v>
      </c>
      <c r="Y14" s="93">
        <f t="shared" si="10"/>
        <v>6</v>
      </c>
      <c r="Z14" s="93">
        <f t="shared" si="10"/>
        <v>5</v>
      </c>
      <c r="AA14" s="93">
        <f t="shared" si="10"/>
        <v>5</v>
      </c>
      <c r="AB14" s="93">
        <f t="shared" si="10"/>
        <v>3</v>
      </c>
      <c r="AC14" s="93">
        <f t="shared" si="10"/>
        <v>0</v>
      </c>
      <c r="AD14" s="94">
        <f t="shared" si="10"/>
        <v>2</v>
      </c>
      <c r="AI14" s="145">
        <f>$N$8</f>
        <v>3.0000000000007798</v>
      </c>
      <c r="AJ14" s="127" t="s">
        <v>56</v>
      </c>
      <c r="AK14" s="164">
        <f t="shared" si="0"/>
        <v>6</v>
      </c>
      <c r="AL14" s="165">
        <f t="shared" si="1"/>
        <v>6</v>
      </c>
      <c r="AM14" s="133">
        <f t="shared" si="2"/>
        <v>0</v>
      </c>
    </row>
    <row r="15" spans="2:39" ht="12.75" customHeight="1" x14ac:dyDescent="0.25">
      <c r="B15" s="95" t="s">
        <v>27</v>
      </c>
      <c r="C15" s="95" t="str">
        <f>RIGHT(C3,3)</f>
        <v>CAD</v>
      </c>
      <c r="D15" s="96" t="str">
        <f t="shared" ref="D15" si="11">RIGHT(D3,3)</f>
        <v>CHF</v>
      </c>
      <c r="E15" s="96" t="str">
        <f t="shared" ref="E15:AD15" si="12">RIGHT(E3,3)</f>
        <v>JPY</v>
      </c>
      <c r="F15" s="96" t="str">
        <f t="shared" si="12"/>
        <v>NZD</v>
      </c>
      <c r="G15" s="96" t="str">
        <f t="shared" si="12"/>
        <v>USD</v>
      </c>
      <c r="H15" s="96" t="str">
        <f t="shared" si="12"/>
        <v>CHF</v>
      </c>
      <c r="I15" s="96" t="str">
        <f t="shared" si="12"/>
        <v>JPY</v>
      </c>
      <c r="J15" s="96" t="str">
        <f t="shared" si="12"/>
        <v>JPY</v>
      </c>
      <c r="K15" s="96" t="str">
        <f t="shared" si="12"/>
        <v>AUD</v>
      </c>
      <c r="L15" s="96" t="str">
        <f t="shared" si="12"/>
        <v>CAD</v>
      </c>
      <c r="M15" s="96" t="str">
        <f t="shared" si="12"/>
        <v>CHF</v>
      </c>
      <c r="N15" s="96" t="str">
        <f t="shared" si="12"/>
        <v>GBP</v>
      </c>
      <c r="O15" s="96" t="str">
        <f t="shared" si="12"/>
        <v>JPY</v>
      </c>
      <c r="P15" s="96" t="str">
        <f t="shared" ref="P15" si="13">RIGHT(P3,3)</f>
        <v>NZD</v>
      </c>
      <c r="Q15" s="96" t="str">
        <f t="shared" si="12"/>
        <v>USD</v>
      </c>
      <c r="R15" s="96" t="str">
        <f t="shared" si="12"/>
        <v>AUD</v>
      </c>
      <c r="S15" s="96" t="str">
        <f t="shared" si="12"/>
        <v>CAD</v>
      </c>
      <c r="T15" s="96" t="str">
        <f t="shared" si="12"/>
        <v>CHF</v>
      </c>
      <c r="U15" s="96" t="str">
        <f t="shared" si="12"/>
        <v>JPY</v>
      </c>
      <c r="V15" s="96" t="str">
        <f t="shared" ref="V15" si="14">RIGHT(V3,3)</f>
        <v>NZD</v>
      </c>
      <c r="W15" s="96" t="str">
        <f t="shared" si="12"/>
        <v>USD</v>
      </c>
      <c r="X15" s="96" t="str">
        <f t="shared" ref="X15:Y15" si="15">RIGHT(X3,3)</f>
        <v>CAD</v>
      </c>
      <c r="Y15" s="96" t="str">
        <f t="shared" si="15"/>
        <v>CHF</v>
      </c>
      <c r="Z15" s="96" t="str">
        <f t="shared" si="12"/>
        <v>JPY</v>
      </c>
      <c r="AA15" s="96" t="str">
        <f t="shared" si="12"/>
        <v>USD</v>
      </c>
      <c r="AB15" s="96" t="str">
        <f t="shared" si="12"/>
        <v>CAD</v>
      </c>
      <c r="AC15" s="96" t="str">
        <f t="shared" si="12"/>
        <v>CHF</v>
      </c>
      <c r="AD15" s="97" t="str">
        <f t="shared" si="12"/>
        <v>JPY</v>
      </c>
      <c r="AI15" s="144">
        <f>$O$8</f>
        <v>2.2999999999996135</v>
      </c>
      <c r="AJ15" s="127" t="s">
        <v>57</v>
      </c>
      <c r="AK15" s="164">
        <f t="shared" si="0"/>
        <v>6</v>
      </c>
      <c r="AL15" s="165">
        <f t="shared" si="1"/>
        <v>3.4285714285714284</v>
      </c>
      <c r="AM15" s="132">
        <f t="shared" si="2"/>
        <v>2.5714285714285716</v>
      </c>
    </row>
    <row r="16" spans="2:39" ht="12.75" customHeight="1" thickBot="1" x14ac:dyDescent="0.3">
      <c r="B16" s="120"/>
      <c r="C16" s="98">
        <f>9-C14</f>
        <v>4</v>
      </c>
      <c r="D16" s="99">
        <f t="shared" ref="D16" si="16">9-D14</f>
        <v>4</v>
      </c>
      <c r="E16" s="99">
        <f t="shared" ref="E16:AD16" si="17">9-E14</f>
        <v>4</v>
      </c>
      <c r="F16" s="99" t="e">
        <f t="shared" si="17"/>
        <v>#DIV/0!</v>
      </c>
      <c r="G16" s="99">
        <f t="shared" si="17"/>
        <v>4</v>
      </c>
      <c r="H16" s="99">
        <f t="shared" si="17"/>
        <v>6</v>
      </c>
      <c r="I16" s="99">
        <f t="shared" si="17"/>
        <v>3</v>
      </c>
      <c r="J16" s="99">
        <f t="shared" si="17"/>
        <v>2</v>
      </c>
      <c r="K16" s="99">
        <f t="shared" si="17"/>
        <v>4</v>
      </c>
      <c r="L16" s="99">
        <f t="shared" si="17"/>
        <v>3</v>
      </c>
      <c r="M16" s="99">
        <f t="shared" si="17"/>
        <v>4</v>
      </c>
      <c r="N16" s="99">
        <f t="shared" si="17"/>
        <v>4</v>
      </c>
      <c r="O16" s="99">
        <f t="shared" si="17"/>
        <v>2</v>
      </c>
      <c r="P16" s="99">
        <f t="shared" ref="P16" si="18">9-P14</f>
        <v>2</v>
      </c>
      <c r="Q16" s="99">
        <f t="shared" si="17"/>
        <v>2</v>
      </c>
      <c r="R16" s="99">
        <f t="shared" si="17"/>
        <v>4</v>
      </c>
      <c r="S16" s="99">
        <f t="shared" si="17"/>
        <v>2</v>
      </c>
      <c r="T16" s="99">
        <f t="shared" si="17"/>
        <v>3</v>
      </c>
      <c r="U16" s="99">
        <f t="shared" si="17"/>
        <v>2</v>
      </c>
      <c r="V16" s="99">
        <v>0</v>
      </c>
      <c r="W16" s="99">
        <f t="shared" si="17"/>
        <v>2</v>
      </c>
      <c r="X16" s="99">
        <f t="shared" ref="X16:Y16" si="19">9-X14</f>
        <v>4</v>
      </c>
      <c r="Y16" s="99">
        <f t="shared" si="19"/>
        <v>3</v>
      </c>
      <c r="Z16" s="99">
        <f t="shared" si="17"/>
        <v>4</v>
      </c>
      <c r="AA16" s="99">
        <f t="shared" si="17"/>
        <v>4</v>
      </c>
      <c r="AB16" s="99">
        <f t="shared" si="17"/>
        <v>6</v>
      </c>
      <c r="AC16" s="99">
        <f t="shared" si="17"/>
        <v>9</v>
      </c>
      <c r="AD16" s="100">
        <f t="shared" si="17"/>
        <v>7</v>
      </c>
      <c r="AI16" s="133">
        <f>$P$8</f>
        <v>16.599999999999948</v>
      </c>
      <c r="AJ16" s="128" t="s">
        <v>72</v>
      </c>
      <c r="AK16" s="164">
        <f t="shared" si="0"/>
        <v>6</v>
      </c>
      <c r="AL16" s="165" t="e">
        <f t="shared" si="1"/>
        <v>#DIV/0!</v>
      </c>
      <c r="AM16" s="133" t="e">
        <f t="shared" si="2"/>
        <v>#DIV/0!</v>
      </c>
    </row>
    <row r="17" spans="2:39" ht="12.75" customHeight="1" thickBot="1" x14ac:dyDescent="0.3">
      <c r="AI17" s="132">
        <f>$Q$8</f>
        <v>0.79999999999857963</v>
      </c>
      <c r="AJ17" s="123" t="s">
        <v>70</v>
      </c>
      <c r="AK17" s="164">
        <f t="shared" si="0"/>
        <v>6</v>
      </c>
      <c r="AL17" s="165">
        <f t="shared" si="1"/>
        <v>2.4</v>
      </c>
      <c r="AM17" s="132">
        <f t="shared" si="2"/>
        <v>3.6</v>
      </c>
    </row>
    <row r="18" spans="2:39" ht="12.75" customHeight="1" x14ac:dyDescent="0.25">
      <c r="B18" s="181" t="s">
        <v>30</v>
      </c>
      <c r="C18" s="182"/>
      <c r="D18" s="101" t="s">
        <v>26</v>
      </c>
      <c r="E18" s="101" t="s">
        <v>24</v>
      </c>
      <c r="F18" s="101" t="s">
        <v>9</v>
      </c>
      <c r="G18" s="101" t="s">
        <v>12</v>
      </c>
      <c r="H18" s="111" t="s">
        <v>29</v>
      </c>
      <c r="I18" s="113" t="s">
        <v>25</v>
      </c>
      <c r="J18" s="114" t="s">
        <v>69</v>
      </c>
      <c r="K18" s="115" t="s">
        <v>28</v>
      </c>
      <c r="N18" s="102" t="s">
        <v>0</v>
      </c>
      <c r="AI18" s="133">
        <f>$R$8</f>
        <v>12.100000000001554</v>
      </c>
      <c r="AJ18" s="127" t="s">
        <v>58</v>
      </c>
      <c r="AK18" s="164">
        <f t="shared" si="0"/>
        <v>6</v>
      </c>
      <c r="AL18" s="165" t="e">
        <f t="shared" si="1"/>
        <v>#DIV/0!</v>
      </c>
      <c r="AM18" s="133" t="e">
        <f t="shared" si="2"/>
        <v>#DIV/0!</v>
      </c>
    </row>
    <row r="19" spans="2:39" ht="12.75" customHeight="1" thickBot="1" x14ac:dyDescent="0.3">
      <c r="B19" s="183"/>
      <c r="C19" s="184"/>
      <c r="D19" s="103">
        <v>2.4</v>
      </c>
      <c r="E19" s="103">
        <f>(K14+L14+M14+N14+O14+P14+Q14)/E20</f>
        <v>6</v>
      </c>
      <c r="F19" s="103">
        <f>(N16+R14+S14+T14+U14+V14+W14)/F20</f>
        <v>6</v>
      </c>
      <c r="G19" s="103">
        <f>(D16+H16+J14+M16+T16+Y16+AC16)/G20</f>
        <v>5.1428571428571432</v>
      </c>
      <c r="H19" s="112">
        <f>(C16+H14+I14+L16+S16+X16+AB16)/H20</f>
        <v>4</v>
      </c>
      <c r="I19" s="112" t="e">
        <f>(C14+D14+E14+F14+G14+K16+R16)/I20</f>
        <v>#DIV/0!</v>
      </c>
      <c r="J19" s="103" t="e">
        <f>(F16+P16+V16+X14+Y14+Z14+AA14)/J20</f>
        <v>#DIV/0!</v>
      </c>
      <c r="K19" s="116">
        <f>(E16+I16+J16+O16+U16+Z16+AD16)/K20</f>
        <v>3.4285714285714284</v>
      </c>
      <c r="N19" s="104" t="s">
        <v>32</v>
      </c>
      <c r="AI19" s="132">
        <f>$S$8</f>
        <v>9.2999999999987537</v>
      </c>
      <c r="AJ19" s="127" t="s">
        <v>59</v>
      </c>
      <c r="AK19" s="164">
        <f t="shared" si="0"/>
        <v>6</v>
      </c>
      <c r="AL19" s="165">
        <f t="shared" si="1"/>
        <v>4</v>
      </c>
      <c r="AM19" s="132">
        <f t="shared" si="2"/>
        <v>2</v>
      </c>
    </row>
    <row r="20" spans="2:39" ht="12.75" customHeight="1" thickBot="1" x14ac:dyDescent="0.3">
      <c r="B20" s="121"/>
      <c r="C20" s="105" t="s">
        <v>31</v>
      </c>
      <c r="D20" s="106">
        <f>COUNTIF($C$13:$AD$16,"=USD")</f>
        <v>7</v>
      </c>
      <c r="E20" s="106">
        <f>COUNTIF($C$13:$AD$16,"=EUR")</f>
        <v>7</v>
      </c>
      <c r="F20" s="106">
        <v>6</v>
      </c>
      <c r="G20" s="106">
        <f>COUNTIF($C$13:$AD$16,"=CHF")</f>
        <v>7</v>
      </c>
      <c r="H20" s="106">
        <f>COUNTIF($C$13:$AD$16,"=CAD")</f>
        <v>7</v>
      </c>
      <c r="I20" s="106">
        <f>COUNTIF($C$13:$AD$16,"=AUD")</f>
        <v>7</v>
      </c>
      <c r="J20" s="106">
        <v>6</v>
      </c>
      <c r="K20" s="107">
        <f>COUNTIF($C$13:$AD$16,"=JPY")</f>
        <v>7</v>
      </c>
      <c r="N20" s="108" t="s">
        <v>1</v>
      </c>
      <c r="AI20" s="133">
        <f>$T$8</f>
        <v>3.9999999999995595</v>
      </c>
      <c r="AJ20" s="127" t="s">
        <v>60</v>
      </c>
      <c r="AK20" s="164">
        <f t="shared" si="0"/>
        <v>6</v>
      </c>
      <c r="AL20" s="165">
        <f t="shared" si="1"/>
        <v>5.1428571428571432</v>
      </c>
      <c r="AM20" s="133">
        <f t="shared" si="2"/>
        <v>0.85714285714285676</v>
      </c>
    </row>
    <row r="21" spans="2:39" ht="12.75" customHeight="1" thickBot="1" x14ac:dyDescent="0.3">
      <c r="N21" s="109" t="s">
        <v>2</v>
      </c>
      <c r="AI21" s="132">
        <f>$U$8</f>
        <v>5.0000000000011369</v>
      </c>
      <c r="AJ21" s="127" t="s">
        <v>61</v>
      </c>
      <c r="AK21" s="164">
        <f t="shared" si="0"/>
        <v>6</v>
      </c>
      <c r="AL21" s="165">
        <f t="shared" si="1"/>
        <v>3.4285714285714284</v>
      </c>
      <c r="AM21" s="132">
        <f t="shared" si="2"/>
        <v>2.5714285714285716</v>
      </c>
    </row>
    <row r="22" spans="2:39" ht="12.75" customHeight="1" x14ac:dyDescent="0.25">
      <c r="AI22" s="133">
        <f>$V$8</f>
        <v>0</v>
      </c>
      <c r="AJ22" s="127" t="s">
        <v>73</v>
      </c>
      <c r="AK22" s="164">
        <f t="shared" si="0"/>
        <v>6</v>
      </c>
      <c r="AL22" s="165" t="e">
        <f t="shared" si="1"/>
        <v>#DIV/0!</v>
      </c>
      <c r="AM22" s="133" t="e">
        <f t="shared" si="2"/>
        <v>#DIV/0!</v>
      </c>
    </row>
    <row r="23" spans="2:39" ht="12.75" customHeight="1" x14ac:dyDescent="0.25">
      <c r="C23" s="110"/>
      <c r="D23" s="110"/>
      <c r="AI23" s="144">
        <f>$W$8</f>
        <v>2.4000000000001798</v>
      </c>
      <c r="AJ23" s="127" t="s">
        <v>62</v>
      </c>
      <c r="AK23" s="164">
        <f t="shared" si="0"/>
        <v>6</v>
      </c>
      <c r="AL23" s="165">
        <f t="shared" si="1"/>
        <v>2.4</v>
      </c>
      <c r="AM23" s="132">
        <f t="shared" si="2"/>
        <v>3.6</v>
      </c>
    </row>
    <row r="24" spans="2:39" ht="12.75" customHeight="1" x14ac:dyDescent="0.25">
      <c r="AI24" s="133">
        <f>$X$8</f>
        <v>8.7000000000003741</v>
      </c>
      <c r="AJ24" s="127" t="s">
        <v>74</v>
      </c>
      <c r="AK24" s="164" t="e">
        <f t="shared" si="0"/>
        <v>#DIV/0!</v>
      </c>
      <c r="AL24" s="165">
        <f t="shared" si="1"/>
        <v>4</v>
      </c>
      <c r="AM24" s="133" t="e">
        <f t="shared" si="2"/>
        <v>#DIV/0!</v>
      </c>
    </row>
    <row r="25" spans="2:39" ht="12.75" customHeight="1" x14ac:dyDescent="0.25">
      <c r="AI25" s="132">
        <f>$Y$8</f>
        <v>6.4000000000008495</v>
      </c>
      <c r="AJ25" s="127" t="s">
        <v>75</v>
      </c>
      <c r="AK25" s="164" t="e">
        <f t="shared" si="0"/>
        <v>#DIV/0!</v>
      </c>
      <c r="AL25" s="165">
        <f t="shared" si="1"/>
        <v>5.1428571428571432</v>
      </c>
      <c r="AM25" s="132" t="e">
        <f t="shared" si="2"/>
        <v>#DIV/0!</v>
      </c>
    </row>
    <row r="26" spans="2:39" ht="12.75" customHeight="1" x14ac:dyDescent="0.25">
      <c r="AI26" s="145">
        <f>$Z$8</f>
        <v>3.7999999999996703</v>
      </c>
      <c r="AJ26" s="127" t="s">
        <v>63</v>
      </c>
      <c r="AK26" s="164" t="e">
        <f t="shared" si="0"/>
        <v>#DIV/0!</v>
      </c>
      <c r="AL26" s="165">
        <f t="shared" si="1"/>
        <v>3.4285714285714284</v>
      </c>
      <c r="AM26" s="133" t="e">
        <f t="shared" si="2"/>
        <v>#DIV/0!</v>
      </c>
    </row>
    <row r="27" spans="2:39" ht="12.75" customHeight="1" x14ac:dyDescent="0.25">
      <c r="AI27" s="144">
        <f>$AA$8</f>
        <v>1.4999999999998348</v>
      </c>
      <c r="AJ27" s="127" t="s">
        <v>64</v>
      </c>
      <c r="AK27" s="164" t="e">
        <f t="shared" si="0"/>
        <v>#DIV/0!</v>
      </c>
      <c r="AL27" s="165">
        <f t="shared" si="1"/>
        <v>2.4</v>
      </c>
      <c r="AM27" s="132" t="e">
        <f t="shared" si="2"/>
        <v>#DIV/0!</v>
      </c>
    </row>
    <row r="28" spans="2:39" ht="12.75" customHeight="1" x14ac:dyDescent="0.25">
      <c r="AI28" s="145">
        <f>$AB$8</f>
        <v>2.4000000000001798</v>
      </c>
      <c r="AJ28" s="127" t="s">
        <v>65</v>
      </c>
      <c r="AK28" s="164">
        <f t="shared" si="0"/>
        <v>2.4</v>
      </c>
      <c r="AL28" s="165">
        <f t="shared" si="1"/>
        <v>4</v>
      </c>
      <c r="AM28" s="133">
        <f t="shared" si="2"/>
        <v>-1.6</v>
      </c>
    </row>
    <row r="29" spans="2:39" ht="12.75" customHeight="1" x14ac:dyDescent="0.25">
      <c r="AI29" s="144">
        <f>$AC$8</f>
        <v>0.79999999999968985</v>
      </c>
      <c r="AJ29" s="127" t="s">
        <v>66</v>
      </c>
      <c r="AK29" s="164">
        <f t="shared" si="0"/>
        <v>2.4</v>
      </c>
      <c r="AL29" s="165">
        <f t="shared" si="1"/>
        <v>5.1428571428571432</v>
      </c>
      <c r="AM29" s="133">
        <f t="shared" si="2"/>
        <v>-2.7428571428571433</v>
      </c>
    </row>
    <row r="30" spans="2:39" ht="12.75" customHeight="1" thickBot="1" x14ac:dyDescent="0.3">
      <c r="AI30" s="146">
        <f>$AD$8</f>
        <v>0.90000000000003411</v>
      </c>
      <c r="AJ30" s="129" t="s">
        <v>67</v>
      </c>
      <c r="AK30" s="166">
        <f t="shared" si="0"/>
        <v>2.4</v>
      </c>
      <c r="AL30" s="167">
        <f t="shared" si="1"/>
        <v>3.4285714285714284</v>
      </c>
      <c r="AM30" s="148">
        <f t="shared" si="2"/>
        <v>-1.0285714285714285</v>
      </c>
    </row>
  </sheetData>
  <mergeCells count="1">
    <mergeCell ref="B18:C19"/>
  </mergeCells>
  <conditionalFormatting sqref="D19:K19">
    <cfRule type="cellIs" dxfId="10" priority="10" stopIfTrue="1" operator="greaterThan">
      <formula>7</formula>
    </cfRule>
    <cfRule type="cellIs" dxfId="9" priority="11" stopIfTrue="1" operator="between">
      <formula>5.000001</formula>
      <formula>7</formula>
    </cfRule>
    <cfRule type="cellIs" dxfId="8" priority="12" stopIfTrue="1" operator="lessThan">
      <formula>2.000001</formula>
    </cfRule>
  </conditionalFormatting>
  <conditionalFormatting sqref="AK3:AK30">
    <cfRule type="expression" dxfId="7" priority="9" stopIfTrue="1">
      <formula>IF(AND(AK3&gt;=6.1,AL3&lt;=2),1)</formula>
    </cfRule>
  </conditionalFormatting>
  <conditionalFormatting sqref="AL3:AL30">
    <cfRule type="expression" dxfId="6" priority="8" stopIfTrue="1">
      <formula>IF(AND(AK3&lt;=2,AL3&gt;=6.1),1)</formula>
    </cfRule>
  </conditionalFormatting>
  <conditionalFormatting sqref="AK4">
    <cfRule type="expression" dxfId="5" priority="7" stopIfTrue="1">
      <formula>IF(AND(AK4&gt;=6.1,AL4&lt;=2),1)</formula>
    </cfRule>
  </conditionalFormatting>
  <conditionalFormatting sqref="AL4">
    <cfRule type="expression" dxfId="4" priority="6" stopIfTrue="1">
      <formula>IF(AND(AK4&lt;=2,AL4&gt;=6.1),1)</formula>
    </cfRule>
  </conditionalFormatting>
  <conditionalFormatting sqref="AK22">
    <cfRule type="expression" dxfId="3" priority="5" stopIfTrue="1">
      <formula>IF(AND(AK22&gt;=6.1,AL22&lt;=2),1)</formula>
    </cfRule>
  </conditionalFormatting>
  <conditionalFormatting sqref="AL22">
    <cfRule type="expression" dxfId="2" priority="4" stopIfTrue="1">
      <formula>IF(AND(AK22&lt;=2,AL22&gt;=6.1),1)</formula>
    </cfRule>
  </conditionalFormatting>
  <conditionalFormatting sqref="AK24:AK25">
    <cfRule type="expression" dxfId="1" priority="3" stopIfTrue="1">
      <formula>IF(AND(AK24&gt;=6.1,AL24&lt;=2),1)</formula>
    </cfRule>
  </conditionalFormatting>
  <conditionalFormatting sqref="AL24:AL25">
    <cfRule type="expression" dxfId="0" priority="2" stopIfTrue="1">
      <formula>IF(AND(AK24&lt;=2,AL24&gt;=6.1),1)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I32" sqref="I32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1"/>
  <sheetViews>
    <sheetView topLeftCell="B1" workbookViewId="0">
      <selection activeCell="A54" sqref="A54"/>
    </sheetView>
  </sheetViews>
  <sheetFormatPr defaultColWidth="106.5546875" defaultRowHeight="13.2" x14ac:dyDescent="0.25"/>
  <sheetData>
    <row r="2" spans="1:1" x14ac:dyDescent="0.25">
      <c r="A2" s="53" t="s">
        <v>80</v>
      </c>
    </row>
    <row r="24" spans="1:1" x14ac:dyDescent="0.25">
      <c r="A24" s="53" t="s">
        <v>81</v>
      </c>
    </row>
    <row r="25" spans="1:1" x14ac:dyDescent="0.25">
      <c r="A25" s="150" t="s">
        <v>82</v>
      </c>
    </row>
    <row r="26" spans="1:1" x14ac:dyDescent="0.25">
      <c r="A26" s="150" t="s">
        <v>83</v>
      </c>
    </row>
    <row r="28" spans="1:1" x14ac:dyDescent="0.25">
      <c r="A28" s="151" t="s">
        <v>84</v>
      </c>
    </row>
    <row r="30" spans="1:1" x14ac:dyDescent="0.25">
      <c r="A30" s="151" t="s">
        <v>85</v>
      </c>
    </row>
    <row r="31" spans="1:1" x14ac:dyDescent="0.25">
      <c r="A31" t="s">
        <v>86</v>
      </c>
    </row>
    <row r="32" spans="1:1" x14ac:dyDescent="0.25">
      <c r="A32" t="s">
        <v>87</v>
      </c>
    </row>
    <row r="33" spans="1:1" x14ac:dyDescent="0.25">
      <c r="A33" t="s">
        <v>88</v>
      </c>
    </row>
    <row r="52" spans="1:1" x14ac:dyDescent="0.25">
      <c r="A52" s="151" t="s">
        <v>89</v>
      </c>
    </row>
    <row r="53" spans="1:1" x14ac:dyDescent="0.25">
      <c r="A53" t="s">
        <v>90</v>
      </c>
    </row>
    <row r="54" spans="1:1" x14ac:dyDescent="0.25">
      <c r="A54" t="s">
        <v>91</v>
      </c>
    </row>
    <row r="55" spans="1:1" x14ac:dyDescent="0.25">
      <c r="A55" t="s">
        <v>92</v>
      </c>
    </row>
    <row r="69" spans="1:1" x14ac:dyDescent="0.25">
      <c r="A69" t="s">
        <v>93</v>
      </c>
    </row>
    <row r="80" spans="1:1" x14ac:dyDescent="0.25">
      <c r="A80" t="s">
        <v>94</v>
      </c>
    </row>
    <row r="91" spans="1:1" x14ac:dyDescent="0.25">
      <c r="A91" t="s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Printout</vt:lpstr>
      <vt:lpstr>Strength 12</vt:lpstr>
      <vt:lpstr>Strength 28</vt:lpstr>
      <vt:lpstr>Total Strength</vt:lpstr>
      <vt:lpstr>Installation</vt:lpstr>
      <vt:lpstr>thelines</vt:lpstr>
      <vt:lpstr>Rubber Bands</vt:lpstr>
      <vt:lpstr>Bid</vt:lpstr>
      <vt:lpstr>High</vt:lpstr>
      <vt:lpstr>Low</vt:lpstr>
      <vt:lpstr>PIP_Range</vt:lpstr>
    </vt:vector>
  </TitlesOfParts>
  <Company>Fundamentalforex.com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SuperMatrix</dc:title>
  <dc:creator>Thomas Yeomans and friends</dc:creator>
  <cp:lastModifiedBy>oem</cp:lastModifiedBy>
  <cp:lastPrinted>2005-12-19T16:30:32Z</cp:lastPrinted>
  <dcterms:created xsi:type="dcterms:W3CDTF">2005-03-08T08:16:43Z</dcterms:created>
  <dcterms:modified xsi:type="dcterms:W3CDTF">2020-04-27T23:56:18Z</dcterms:modified>
</cp:coreProperties>
</file>